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/>
  <mc:AlternateContent xmlns:mc="http://schemas.openxmlformats.org/markup-compatibility/2006">
    <mc:Choice Requires="x15">
      <x15ac:absPath xmlns:x15ac="http://schemas.microsoft.com/office/spreadsheetml/2010/11/ac" url="C:\Users\d.dygon\Desktop\PLANY STUDIÓW\Programy studiów 2023_2024\Finanse i Rachunkowość\"/>
    </mc:Choice>
  </mc:AlternateContent>
  <xr:revisionPtr revIDLastSave="0" documentId="13_ncr:1_{6390C985-9403-45D4-B1F6-B40D7CBF104D}" xr6:coauthVersionLast="47" xr6:coauthVersionMax="47" xr10:uidLastSave="{00000000-0000-0000-0000-000000000000}"/>
  <bookViews>
    <workbookView xWindow="-120" yWindow="-120" windowWidth="29040" windowHeight="15840" tabRatio="417" activeTab="1" xr2:uid="{00000000-000D-0000-FFFF-FFFF00000000}"/>
  </bookViews>
  <sheets>
    <sheet name="PLAN ST" sheetId="1" r:id="rId1"/>
    <sheet name="PLAN NST" sheetId="9" r:id="rId2"/>
    <sheet name="ISCED" sheetId="2" r:id="rId3"/>
    <sheet name="KODY" sheetId="4" r:id="rId4"/>
    <sheet name="INFORMACJA" sheetId="5" r:id="rId5"/>
    <sheet name="ECTS" sheetId="6" r:id="rId6"/>
    <sheet name="wykaz zmian" sheetId="7" state="hidden" r:id="rId7"/>
    <sheet name="uwagi" sheetId="8" state="hidden" r:id="rId8"/>
  </sheets>
  <definedNames>
    <definedName name="_xlnm._FilterDatabase" localSheetId="1" hidden="1">'PLAN NST'!$B$2:$AL$213</definedName>
    <definedName name="_xlnm._FilterDatabase" localSheetId="0" hidden="1">'PLAN ST'!$B$2:$AL$205</definedName>
    <definedName name="Excel_BuiltIn_Print_Area" localSheetId="2">ISCED!$A$1:$D$2</definedName>
    <definedName name="Excel_BuiltIn_Print_Area" localSheetId="3">KODY!$A$1:$C$57</definedName>
    <definedName name="_xlnm.Print_Area" localSheetId="2">ISCED!$A$1:$C$162</definedName>
    <definedName name="_xlnm.Print_Area" localSheetId="1">'PLAN NST'!$A$1:$AW$134</definedName>
    <definedName name="_xlnm.Print_Area" localSheetId="0">'PLAN ST'!$A$1:$AW$135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53" i="1" l="1"/>
  <c r="AT53" i="1" s="1"/>
  <c r="AL53" i="1" a="1"/>
  <c r="AL53" i="1" s="1"/>
  <c r="AI53" i="1" a="1"/>
  <c r="AI53" i="1" s="1"/>
  <c r="AF53" i="1" a="1"/>
  <c r="AF53" i="1" s="1"/>
  <c r="AC53" i="1" a="1"/>
  <c r="AC53" i="1" s="1"/>
  <c r="Z53" i="1" a="1"/>
  <c r="Z53" i="1" s="1"/>
  <c r="T53" i="1" a="1"/>
  <c r="T53" i="1" s="1"/>
  <c r="Q53" i="1" a="1"/>
  <c r="Q53" i="1" s="1"/>
  <c r="K53" i="1" a="1"/>
  <c r="K53" i="1" s="1"/>
  <c r="AU48" i="1"/>
  <c r="AT48" i="1" s="1"/>
  <c r="AL48" i="1" a="1"/>
  <c r="AL48" i="1" s="1"/>
  <c r="AI48" i="1" a="1"/>
  <c r="AI48" i="1" s="1"/>
  <c r="AF48" i="1" a="1"/>
  <c r="AF48" i="1" s="1"/>
  <c r="AC48" i="1" a="1"/>
  <c r="AC48" i="1" s="1"/>
  <c r="Z48" i="1" a="1"/>
  <c r="Z48" i="1" s="1"/>
  <c r="W48" i="1" a="1"/>
  <c r="W48" i="1" s="1"/>
  <c r="T48" i="1" a="1"/>
  <c r="T48" i="1" s="1"/>
  <c r="Q48" i="1" a="1"/>
  <c r="Q48" i="1" s="1"/>
  <c r="N48" i="1" a="1"/>
  <c r="N48" i="1" s="1"/>
  <c r="AN53" i="1" l="1"/>
  <c r="AO53" i="1" s="1"/>
  <c r="AS53" i="1"/>
  <c r="AN48" i="1"/>
  <c r="AO48" i="1" s="1"/>
  <c r="AS48" i="1"/>
  <c r="N38" i="1" a="1"/>
  <c r="N38" i="1" s="1"/>
  <c r="K39" i="1" a="1"/>
  <c r="K39" i="1" s="1"/>
  <c r="AR53" i="1" l="1"/>
  <c r="AQ53" i="1" s="1"/>
  <c r="AP53" i="1"/>
  <c r="AV53" i="1" s="1"/>
  <c r="AR48" i="1"/>
  <c r="AQ48" i="1" s="1"/>
  <c r="AP48" i="1"/>
  <c r="AV48" i="1" s="1"/>
  <c r="T124" i="1" a="1"/>
  <c r="T124" i="1" s="1"/>
  <c r="W108" i="1" l="1" a="1"/>
  <c r="W108" i="1" s="1"/>
  <c r="K34" i="1" a="1"/>
  <c r="K34" i="1" s="1"/>
  <c r="W22" i="1" a="1"/>
  <c r="W22" i="1" s="1"/>
  <c r="B64" i="9"/>
  <c r="B65" i="9"/>
  <c r="B66" i="9"/>
  <c r="C64" i="9"/>
  <c r="C65" i="9"/>
  <c r="C66" i="9"/>
  <c r="D64" i="9"/>
  <c r="D65" i="9"/>
  <c r="D66" i="9"/>
  <c r="E64" i="9"/>
  <c r="E65" i="9"/>
  <c r="E66" i="9"/>
  <c r="F64" i="9"/>
  <c r="F65" i="9"/>
  <c r="F66" i="9"/>
  <c r="G64" i="9"/>
  <c r="G65" i="9"/>
  <c r="G66" i="9"/>
  <c r="H64" i="9"/>
  <c r="H65" i="9"/>
  <c r="H66" i="9"/>
  <c r="I64" i="9"/>
  <c r="I65" i="9"/>
  <c r="I66" i="9"/>
  <c r="J64" i="9"/>
  <c r="J65" i="9"/>
  <c r="J66" i="9"/>
  <c r="L64" i="9"/>
  <c r="L65" i="9"/>
  <c r="L66" i="9"/>
  <c r="M64" i="9"/>
  <c r="M65" i="9"/>
  <c r="M66" i="9"/>
  <c r="O64" i="9"/>
  <c r="O65" i="9"/>
  <c r="O66" i="9"/>
  <c r="P64" i="9"/>
  <c r="P65" i="9"/>
  <c r="P66" i="9"/>
  <c r="R64" i="9"/>
  <c r="R65" i="9"/>
  <c r="R66" i="9"/>
  <c r="S64" i="9"/>
  <c r="S65" i="9"/>
  <c r="S66" i="9"/>
  <c r="U64" i="9"/>
  <c r="U65" i="9"/>
  <c r="U66" i="9"/>
  <c r="V64" i="9"/>
  <c r="V65" i="9"/>
  <c r="V66" i="9"/>
  <c r="X64" i="9"/>
  <c r="X65" i="9"/>
  <c r="X66" i="9"/>
  <c r="Y64" i="9"/>
  <c r="Y65" i="9"/>
  <c r="Y66" i="9"/>
  <c r="AA64" i="9"/>
  <c r="AA65" i="9"/>
  <c r="AA66" i="9"/>
  <c r="AB64" i="9"/>
  <c r="AB65" i="9"/>
  <c r="AB66" i="9"/>
  <c r="AD64" i="9"/>
  <c r="AD65" i="9"/>
  <c r="AD66" i="9"/>
  <c r="AE64" i="9"/>
  <c r="AE65" i="9"/>
  <c r="AE66" i="9"/>
  <c r="AG64" i="9"/>
  <c r="AG65" i="9"/>
  <c r="AG66" i="9"/>
  <c r="AH64" i="9"/>
  <c r="AH65" i="9"/>
  <c r="AH66" i="9"/>
  <c r="AJ64" i="9"/>
  <c r="AJ65" i="9"/>
  <c r="AJ66" i="9"/>
  <c r="AK64" i="9"/>
  <c r="AK65" i="9"/>
  <c r="AK66" i="9"/>
  <c r="AM64" i="9"/>
  <c r="AM65" i="9"/>
  <c r="AM66" i="9"/>
  <c r="B36" i="9"/>
  <c r="C36" i="9"/>
  <c r="D36" i="9"/>
  <c r="E36" i="9"/>
  <c r="F36" i="9"/>
  <c r="G36" i="9"/>
  <c r="H36" i="9"/>
  <c r="I36" i="9"/>
  <c r="J36" i="9"/>
  <c r="L36" i="9"/>
  <c r="M36" i="9"/>
  <c r="O36" i="9"/>
  <c r="P36" i="9"/>
  <c r="R36" i="9"/>
  <c r="S36" i="9"/>
  <c r="U36" i="9"/>
  <c r="V36" i="9"/>
  <c r="X36" i="9"/>
  <c r="Y36" i="9"/>
  <c r="AA36" i="9"/>
  <c r="AB36" i="9"/>
  <c r="AD36" i="9"/>
  <c r="AE36" i="9"/>
  <c r="AG36" i="9"/>
  <c r="AH36" i="9"/>
  <c r="AJ36" i="9"/>
  <c r="AK36" i="9"/>
  <c r="AM36" i="9"/>
  <c r="B30" i="9"/>
  <c r="B31" i="9"/>
  <c r="B32" i="9"/>
  <c r="B33" i="9"/>
  <c r="B34" i="9"/>
  <c r="B35" i="9"/>
  <c r="C30" i="9"/>
  <c r="C31" i="9"/>
  <c r="C32" i="9"/>
  <c r="C33" i="9"/>
  <c r="C34" i="9"/>
  <c r="C35" i="9"/>
  <c r="D30" i="9"/>
  <c r="D31" i="9"/>
  <c r="D32" i="9"/>
  <c r="D33" i="9"/>
  <c r="D34" i="9"/>
  <c r="D35" i="9"/>
  <c r="E30" i="9"/>
  <c r="E31" i="9"/>
  <c r="E32" i="9"/>
  <c r="E33" i="9"/>
  <c r="E34" i="9"/>
  <c r="E35" i="9"/>
  <c r="F30" i="9"/>
  <c r="F31" i="9"/>
  <c r="F32" i="9"/>
  <c r="F33" i="9"/>
  <c r="F34" i="9"/>
  <c r="F35" i="9"/>
  <c r="G30" i="9"/>
  <c r="G31" i="9"/>
  <c r="G32" i="9"/>
  <c r="G33" i="9"/>
  <c r="G34" i="9"/>
  <c r="G35" i="9"/>
  <c r="H30" i="9"/>
  <c r="H31" i="9"/>
  <c r="H32" i="9"/>
  <c r="H33" i="9"/>
  <c r="H34" i="9"/>
  <c r="H35" i="9"/>
  <c r="I30" i="9"/>
  <c r="I31" i="9"/>
  <c r="I32" i="9"/>
  <c r="I33" i="9"/>
  <c r="I34" i="9"/>
  <c r="I35" i="9"/>
  <c r="J30" i="9"/>
  <c r="J31" i="9"/>
  <c r="J32" i="9"/>
  <c r="J33" i="9"/>
  <c r="J34" i="9"/>
  <c r="J35" i="9"/>
  <c r="L30" i="9"/>
  <c r="L31" i="9"/>
  <c r="L32" i="9"/>
  <c r="L33" i="9"/>
  <c r="L34" i="9"/>
  <c r="L35" i="9"/>
  <c r="M30" i="9"/>
  <c r="M31" i="9"/>
  <c r="M32" i="9"/>
  <c r="M33" i="9"/>
  <c r="M34" i="9"/>
  <c r="M35" i="9"/>
  <c r="O30" i="9"/>
  <c r="O31" i="9"/>
  <c r="O32" i="9"/>
  <c r="O33" i="9"/>
  <c r="O34" i="9"/>
  <c r="O35" i="9"/>
  <c r="P30" i="9"/>
  <c r="P31" i="9"/>
  <c r="P32" i="9"/>
  <c r="P33" i="9"/>
  <c r="P34" i="9"/>
  <c r="P35" i="9"/>
  <c r="R30" i="9"/>
  <c r="R31" i="9"/>
  <c r="R32" i="9"/>
  <c r="R33" i="9"/>
  <c r="R34" i="9"/>
  <c r="R35" i="9"/>
  <c r="S30" i="9"/>
  <c r="S31" i="9"/>
  <c r="S32" i="9"/>
  <c r="S33" i="9"/>
  <c r="S34" i="9"/>
  <c r="S35" i="9"/>
  <c r="U30" i="9"/>
  <c r="U31" i="9"/>
  <c r="U32" i="9"/>
  <c r="U33" i="9"/>
  <c r="U34" i="9"/>
  <c r="U35" i="9"/>
  <c r="V30" i="9"/>
  <c r="V31" i="9"/>
  <c r="V32" i="9"/>
  <c r="V33" i="9"/>
  <c r="V34" i="9"/>
  <c r="V35" i="9"/>
  <c r="X30" i="9"/>
  <c r="X31" i="9"/>
  <c r="X32" i="9"/>
  <c r="X33" i="9"/>
  <c r="X34" i="9"/>
  <c r="X35" i="9"/>
  <c r="Y30" i="9"/>
  <c r="Y31" i="9"/>
  <c r="Y32" i="9"/>
  <c r="Y33" i="9"/>
  <c r="Y34" i="9"/>
  <c r="Y35" i="9"/>
  <c r="AA30" i="9"/>
  <c r="AA31" i="9"/>
  <c r="AA32" i="9"/>
  <c r="AA33" i="9"/>
  <c r="AA34" i="9"/>
  <c r="AA35" i="9"/>
  <c r="AB30" i="9"/>
  <c r="AB31" i="9"/>
  <c r="AB32" i="9"/>
  <c r="AB33" i="9"/>
  <c r="AB34" i="9"/>
  <c r="AB35" i="9"/>
  <c r="AD30" i="9"/>
  <c r="AD31" i="9"/>
  <c r="AD32" i="9"/>
  <c r="AD33" i="9"/>
  <c r="AD34" i="9"/>
  <c r="AD35" i="9"/>
  <c r="AE30" i="9"/>
  <c r="AE31" i="9"/>
  <c r="AE32" i="9"/>
  <c r="AE33" i="9"/>
  <c r="AE34" i="9"/>
  <c r="AE35" i="9"/>
  <c r="AG30" i="9"/>
  <c r="AG31" i="9"/>
  <c r="AG32" i="9"/>
  <c r="AG33" i="9"/>
  <c r="AG34" i="9"/>
  <c r="AG35" i="9"/>
  <c r="AH30" i="9"/>
  <c r="AH31" i="9"/>
  <c r="AH32" i="9"/>
  <c r="AH33" i="9"/>
  <c r="AH34" i="9"/>
  <c r="AH35" i="9"/>
  <c r="AJ30" i="9"/>
  <c r="AJ31" i="9"/>
  <c r="AJ32" i="9"/>
  <c r="AJ33" i="9"/>
  <c r="AJ34" i="9"/>
  <c r="AJ35" i="9"/>
  <c r="AK30" i="9"/>
  <c r="AK31" i="9"/>
  <c r="AK32" i="9"/>
  <c r="AK33" i="9"/>
  <c r="AK34" i="9"/>
  <c r="AK35" i="9"/>
  <c r="AM30" i="9"/>
  <c r="AM31" i="9"/>
  <c r="AM32" i="9"/>
  <c r="AM33" i="9"/>
  <c r="AM34" i="9"/>
  <c r="AM35" i="9"/>
  <c r="B37" i="9"/>
  <c r="B38" i="9"/>
  <c r="B39" i="9"/>
  <c r="C37" i="9"/>
  <c r="C38" i="9"/>
  <c r="C39" i="9"/>
  <c r="D37" i="9"/>
  <c r="D38" i="9"/>
  <c r="D39" i="9"/>
  <c r="E37" i="9"/>
  <c r="AO37" i="9" s="1"/>
  <c r="E38" i="9"/>
  <c r="E39" i="9"/>
  <c r="F37" i="9"/>
  <c r="F38" i="9"/>
  <c r="F39" i="9"/>
  <c r="G37" i="9"/>
  <c r="G38" i="9"/>
  <c r="G39" i="9"/>
  <c r="H37" i="9"/>
  <c r="H38" i="9"/>
  <c r="H39" i="9"/>
  <c r="I37" i="9"/>
  <c r="I38" i="9"/>
  <c r="I39" i="9"/>
  <c r="J37" i="9"/>
  <c r="J38" i="9"/>
  <c r="J39" i="9"/>
  <c r="L37" i="9"/>
  <c r="L38" i="9"/>
  <c r="L39" i="9"/>
  <c r="M37" i="9"/>
  <c r="M38" i="9"/>
  <c r="M39" i="9"/>
  <c r="O37" i="9"/>
  <c r="O38" i="9"/>
  <c r="O39" i="9"/>
  <c r="P37" i="9"/>
  <c r="P38" i="9"/>
  <c r="P39" i="9"/>
  <c r="R37" i="9"/>
  <c r="R38" i="9"/>
  <c r="R39" i="9"/>
  <c r="S37" i="9"/>
  <c r="S38" i="9"/>
  <c r="S39" i="9"/>
  <c r="U37" i="9"/>
  <c r="U38" i="9"/>
  <c r="U39" i="9"/>
  <c r="V37" i="9"/>
  <c r="V38" i="9"/>
  <c r="V39" i="9"/>
  <c r="X37" i="9"/>
  <c r="X38" i="9"/>
  <c r="X39" i="9"/>
  <c r="Y37" i="9"/>
  <c r="Y38" i="9"/>
  <c r="Y39" i="9"/>
  <c r="AA37" i="9"/>
  <c r="AA38" i="9"/>
  <c r="AA39" i="9"/>
  <c r="AB37" i="9"/>
  <c r="AB38" i="9"/>
  <c r="AB39" i="9"/>
  <c r="AD37" i="9"/>
  <c r="AD38" i="9"/>
  <c r="AD39" i="9"/>
  <c r="AE37" i="9"/>
  <c r="AE38" i="9"/>
  <c r="AE39" i="9"/>
  <c r="AG37" i="9"/>
  <c r="AG38" i="9"/>
  <c r="AG39" i="9"/>
  <c r="AH37" i="9"/>
  <c r="AH38" i="9"/>
  <c r="AH39" i="9"/>
  <c r="AJ37" i="9"/>
  <c r="AJ38" i="9"/>
  <c r="AJ39" i="9"/>
  <c r="AK37" i="9"/>
  <c r="AK38" i="9"/>
  <c r="AK39" i="9"/>
  <c r="AM37" i="9"/>
  <c r="AM38" i="9"/>
  <c r="AM39" i="9"/>
  <c r="B18" i="9"/>
  <c r="B19" i="9"/>
  <c r="C18" i="9"/>
  <c r="C19" i="9"/>
  <c r="D18" i="9"/>
  <c r="D19" i="9"/>
  <c r="E18" i="9"/>
  <c r="E19" i="9"/>
  <c r="F18" i="9"/>
  <c r="F19" i="9"/>
  <c r="G18" i="9"/>
  <c r="G19" i="9"/>
  <c r="H18" i="9"/>
  <c r="H19" i="9"/>
  <c r="I18" i="9"/>
  <c r="AP18" i="9" s="1"/>
  <c r="AV18" i="9" s="1"/>
  <c r="I19" i="9"/>
  <c r="J18" i="9"/>
  <c r="J19" i="9"/>
  <c r="L18" i="9"/>
  <c r="L19" i="9"/>
  <c r="M18" i="9"/>
  <c r="M19" i="9"/>
  <c r="O18" i="9"/>
  <c r="O19" i="9"/>
  <c r="P18" i="9"/>
  <c r="P19" i="9"/>
  <c r="R18" i="9"/>
  <c r="R19" i="9"/>
  <c r="S18" i="9"/>
  <c r="S19" i="9"/>
  <c r="U18" i="9"/>
  <c r="U19" i="9"/>
  <c r="V18" i="9"/>
  <c r="V19" i="9"/>
  <c r="X18" i="9"/>
  <c r="X19" i="9"/>
  <c r="Y18" i="9"/>
  <c r="Y19" i="9"/>
  <c r="AA18" i="9"/>
  <c r="AA19" i="9"/>
  <c r="AB18" i="9"/>
  <c r="AB19" i="9"/>
  <c r="AD18" i="9"/>
  <c r="AD19" i="9"/>
  <c r="AE18" i="9"/>
  <c r="AE19" i="9"/>
  <c r="AG18" i="9"/>
  <c r="AG19" i="9"/>
  <c r="AH18" i="9"/>
  <c r="AH19" i="9"/>
  <c r="AJ18" i="9"/>
  <c r="AJ19" i="9"/>
  <c r="AK18" i="9"/>
  <c r="AK19" i="9"/>
  <c r="AM18" i="9"/>
  <c r="AM19" i="9"/>
  <c r="B20" i="9"/>
  <c r="B21" i="9"/>
  <c r="C20" i="9"/>
  <c r="C21" i="9"/>
  <c r="D20" i="9"/>
  <c r="D21" i="9"/>
  <c r="E20" i="9"/>
  <c r="E21" i="9"/>
  <c r="F20" i="9"/>
  <c r="F21" i="9"/>
  <c r="G20" i="9"/>
  <c r="G21" i="9"/>
  <c r="H20" i="9"/>
  <c r="H21" i="9"/>
  <c r="I20" i="9"/>
  <c r="I21" i="9"/>
  <c r="K21" i="9" s="1" a="1"/>
  <c r="K21" i="9" s="1"/>
  <c r="J20" i="9"/>
  <c r="J21" i="9"/>
  <c r="L20" i="9"/>
  <c r="L21" i="9"/>
  <c r="M20" i="9"/>
  <c r="M21" i="9"/>
  <c r="O20" i="9"/>
  <c r="O21" i="9"/>
  <c r="P20" i="9"/>
  <c r="P21" i="9"/>
  <c r="R20" i="9"/>
  <c r="R21" i="9"/>
  <c r="S20" i="9"/>
  <c r="S21" i="9"/>
  <c r="U20" i="9"/>
  <c r="U21" i="9"/>
  <c r="V20" i="9"/>
  <c r="V21" i="9"/>
  <c r="X20" i="9"/>
  <c r="X21" i="9"/>
  <c r="Y20" i="9"/>
  <c r="Y21" i="9"/>
  <c r="AA20" i="9"/>
  <c r="AA21" i="9"/>
  <c r="AB20" i="9"/>
  <c r="AB21" i="9"/>
  <c r="AD20" i="9"/>
  <c r="AD21" i="9"/>
  <c r="AE20" i="9"/>
  <c r="AE21" i="9"/>
  <c r="AG20" i="9"/>
  <c r="AG21" i="9"/>
  <c r="AH20" i="9"/>
  <c r="AH21" i="9"/>
  <c r="AJ20" i="9"/>
  <c r="AJ21" i="9"/>
  <c r="AK20" i="9"/>
  <c r="AK21" i="9"/>
  <c r="AM20" i="9"/>
  <c r="AM21" i="9"/>
  <c r="K63" i="1" a="1"/>
  <c r="K63" i="1" s="1"/>
  <c r="K64" i="1" a="1"/>
  <c r="K64" i="1" s="1"/>
  <c r="K65" i="1" a="1"/>
  <c r="K65" i="1" s="1"/>
  <c r="N63" i="1" a="1"/>
  <c r="N63" i="1" s="1"/>
  <c r="N64" i="1" a="1"/>
  <c r="N64" i="1" s="1"/>
  <c r="N65" i="1" a="1"/>
  <c r="N65" i="1" s="1"/>
  <c r="Q63" i="1" a="1"/>
  <c r="Q63" i="1" s="1"/>
  <c r="Q64" i="1" a="1"/>
  <c r="Q64" i="1" s="1"/>
  <c r="Q65" i="1" a="1"/>
  <c r="Q65" i="1" s="1"/>
  <c r="T63" i="1" a="1"/>
  <c r="T63" i="1" s="1"/>
  <c r="T65" i="1" a="1"/>
  <c r="T65" i="1" s="1"/>
  <c r="W63" i="1" a="1"/>
  <c r="W63" i="1" s="1"/>
  <c r="W64" i="1" a="1"/>
  <c r="W64" i="1" s="1"/>
  <c r="W65" i="1" a="1"/>
  <c r="W65" i="1" s="1"/>
  <c r="Z63" i="1" a="1"/>
  <c r="Z63" i="1" s="1"/>
  <c r="Z64" i="1" a="1"/>
  <c r="Z64" i="1" s="1"/>
  <c r="Z65" i="1" a="1"/>
  <c r="Z65" i="1" s="1"/>
  <c r="AC63" i="1" a="1"/>
  <c r="AC63" i="1" s="1"/>
  <c r="AC64" i="1" a="1"/>
  <c r="AC64" i="1" s="1"/>
  <c r="AC65" i="1" a="1"/>
  <c r="AC65" i="1" s="1"/>
  <c r="AF63" i="1" a="1"/>
  <c r="AF63" i="1" s="1"/>
  <c r="AF64" i="1" a="1"/>
  <c r="AF64" i="1" s="1"/>
  <c r="AF65" i="1" a="1"/>
  <c r="AF65" i="1" s="1"/>
  <c r="AI63" i="1" a="1"/>
  <c r="AI63" i="1" s="1"/>
  <c r="AI64" i="1" a="1"/>
  <c r="AI64" i="1" s="1"/>
  <c r="AI65" i="1" a="1"/>
  <c r="AI65" i="1" s="1"/>
  <c r="AL63" i="1" a="1"/>
  <c r="AL63" i="1" s="1"/>
  <c r="AL64" i="1" a="1"/>
  <c r="AL64" i="1" s="1"/>
  <c r="AL65" i="1" a="1"/>
  <c r="AL65" i="1" s="1"/>
  <c r="AU63" i="1"/>
  <c r="AT63" i="1" s="1"/>
  <c r="AU64" i="1"/>
  <c r="AS64" i="1" s="1"/>
  <c r="AU65" i="1"/>
  <c r="AT65" i="1" s="1"/>
  <c r="K35" i="1" a="1"/>
  <c r="K35" i="1" s="1"/>
  <c r="N30" i="1" a="1"/>
  <c r="N30" i="1" s="1"/>
  <c r="N31" i="1" a="1"/>
  <c r="N31" i="1" s="1"/>
  <c r="N32" i="1" a="1"/>
  <c r="N32" i="1" s="1"/>
  <c r="N33" i="1" a="1"/>
  <c r="N33" i="1" s="1"/>
  <c r="N34" i="1" a="1"/>
  <c r="N34" i="1" s="1"/>
  <c r="N35" i="1" a="1"/>
  <c r="N35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T30" i="1" a="1"/>
  <c r="T30" i="1" s="1"/>
  <c r="T31" i="1" a="1"/>
  <c r="T31" i="1" s="1"/>
  <c r="T32" i="1" a="1"/>
  <c r="T32" i="1" s="1"/>
  <c r="T33" i="1" a="1"/>
  <c r="T33" i="1" s="1"/>
  <c r="T34" i="1" a="1"/>
  <c r="T34" i="1" s="1"/>
  <c r="T35" i="1" a="1"/>
  <c r="T35" i="1" s="1"/>
  <c r="W30" i="1" a="1"/>
  <c r="W30" i="1" s="1"/>
  <c r="W31" i="1" a="1"/>
  <c r="W31" i="1" s="1"/>
  <c r="W32" i="1" a="1"/>
  <c r="W32" i="1" s="1"/>
  <c r="W33" i="1" a="1"/>
  <c r="W33" i="1" s="1"/>
  <c r="W34" i="1" a="1"/>
  <c r="W34" i="1" s="1"/>
  <c r="W35" i="1" a="1"/>
  <c r="W35" i="1" s="1"/>
  <c r="Z30" i="1" a="1"/>
  <c r="Z30" i="1" s="1"/>
  <c r="Z31" i="1" a="1"/>
  <c r="Z31" i="1" s="1"/>
  <c r="Z32" i="1" a="1"/>
  <c r="Z32" i="1" s="1"/>
  <c r="Z33" i="1" a="1"/>
  <c r="Z33" i="1" s="1"/>
  <c r="Z34" i="1" a="1"/>
  <c r="Z34" i="1" s="1"/>
  <c r="Z35" i="1" a="1"/>
  <c r="Z35" i="1" s="1"/>
  <c r="AC30" i="1" a="1"/>
  <c r="AC30" i="1" s="1"/>
  <c r="AC31" i="1" a="1"/>
  <c r="AC31" i="1" s="1"/>
  <c r="AC32" i="1" a="1"/>
  <c r="AC32" i="1" s="1"/>
  <c r="AC33" i="1" a="1"/>
  <c r="AC33" i="1" s="1"/>
  <c r="AC34" i="1" a="1"/>
  <c r="AC34" i="1" s="1"/>
  <c r="AC35" i="1" a="1"/>
  <c r="AC35" i="1" s="1"/>
  <c r="AF30" i="1" a="1"/>
  <c r="AF30" i="1" s="1"/>
  <c r="AF31" i="1" a="1"/>
  <c r="AF31" i="1" s="1"/>
  <c r="AF32" i="1" a="1"/>
  <c r="AF32" i="1" s="1"/>
  <c r="AF33" i="1" a="1"/>
  <c r="AF33" i="1" s="1"/>
  <c r="AF34" i="1" a="1"/>
  <c r="AF34" i="1" s="1"/>
  <c r="AF35" i="1" a="1"/>
  <c r="AF35" i="1" s="1"/>
  <c r="AI30" i="1" a="1"/>
  <c r="AI30" i="1" s="1"/>
  <c r="AI31" i="1" a="1"/>
  <c r="AI31" i="1" s="1"/>
  <c r="AI32" i="1" a="1"/>
  <c r="AI32" i="1" s="1"/>
  <c r="AI33" i="1" a="1"/>
  <c r="AI33" i="1" s="1"/>
  <c r="AI34" i="1" a="1"/>
  <c r="AI34" i="1" s="1"/>
  <c r="AI35" i="1" a="1"/>
  <c r="AI35" i="1" s="1"/>
  <c r="AL30" i="1" a="1"/>
  <c r="AL30" i="1" s="1"/>
  <c r="AL31" i="1" a="1"/>
  <c r="AL31" i="1" s="1"/>
  <c r="AL32" i="1" a="1"/>
  <c r="AL32" i="1" s="1"/>
  <c r="AL33" i="1" a="1"/>
  <c r="AL33" i="1" s="1"/>
  <c r="AL34" i="1" a="1"/>
  <c r="AL34" i="1" s="1"/>
  <c r="AL35" i="1" a="1"/>
  <c r="AL35" i="1" s="1"/>
  <c r="AU30" i="1"/>
  <c r="AS30" i="1" s="1"/>
  <c r="AS30" i="9" s="1"/>
  <c r="AU31" i="1"/>
  <c r="AT31" i="1" s="1"/>
  <c r="AT31" i="9" s="1"/>
  <c r="AU32" i="1"/>
  <c r="AT32" i="1" s="1"/>
  <c r="AT32" i="9" s="1"/>
  <c r="AU33" i="1"/>
  <c r="AT33" i="1" s="1"/>
  <c r="AT33" i="9" s="1"/>
  <c r="AU34" i="1"/>
  <c r="AS34" i="1" s="1"/>
  <c r="AS34" i="9" s="1"/>
  <c r="AU35" i="1"/>
  <c r="AT35" i="1" s="1"/>
  <c r="K37" i="1" a="1"/>
  <c r="K37" i="1" s="1"/>
  <c r="K38" i="1" a="1"/>
  <c r="K38" i="1" s="1"/>
  <c r="N36" i="1" a="1"/>
  <c r="N36" i="1" s="1"/>
  <c r="N37" i="1" a="1"/>
  <c r="N37" i="1" s="1"/>
  <c r="Q36" i="1" a="1"/>
  <c r="Q36" i="1" s="1"/>
  <c r="Q37" i="1" a="1"/>
  <c r="Q37" i="1" s="1"/>
  <c r="Q38" i="1" a="1"/>
  <c r="Q38" i="1" s="1"/>
  <c r="T36" i="1" a="1"/>
  <c r="T36" i="1" s="1"/>
  <c r="T37" i="1" a="1"/>
  <c r="T37" i="1" s="1"/>
  <c r="T38" i="1" a="1"/>
  <c r="T38" i="1" s="1"/>
  <c r="W36" i="1" a="1"/>
  <c r="W36" i="1" s="1"/>
  <c r="W37" i="1" a="1"/>
  <c r="W37" i="1" s="1"/>
  <c r="W38" i="1" a="1"/>
  <c r="W38" i="1" s="1"/>
  <c r="Z36" i="1" a="1"/>
  <c r="Z36" i="1" s="1"/>
  <c r="Z37" i="1" a="1"/>
  <c r="Z37" i="1" s="1"/>
  <c r="Z38" i="1" a="1"/>
  <c r="Z38" i="1" s="1"/>
  <c r="AC36" i="1" a="1"/>
  <c r="AC36" i="1" s="1"/>
  <c r="AC37" i="1" a="1"/>
  <c r="AC37" i="1" s="1"/>
  <c r="AC38" i="1" a="1"/>
  <c r="AC38" i="1" s="1"/>
  <c r="AF36" i="1" a="1"/>
  <c r="AF36" i="1" s="1"/>
  <c r="AF37" i="1" a="1"/>
  <c r="AF37" i="1" s="1"/>
  <c r="AF38" i="1" a="1"/>
  <c r="AF38" i="1" s="1"/>
  <c r="AI36" i="1" a="1"/>
  <c r="AI36" i="1" s="1"/>
  <c r="AI37" i="1" a="1"/>
  <c r="AI37" i="1" s="1"/>
  <c r="AI38" i="1" a="1"/>
  <c r="AI38" i="1" s="1"/>
  <c r="AL36" i="1" a="1"/>
  <c r="AL36" i="1" s="1"/>
  <c r="AL37" i="1" a="1"/>
  <c r="AL37" i="1" s="1"/>
  <c r="AL38" i="1" a="1"/>
  <c r="AL38" i="1" s="1"/>
  <c r="AO37" i="1"/>
  <c r="AU36" i="1"/>
  <c r="AS36" i="1" s="1"/>
  <c r="AU37" i="1"/>
  <c r="AS37" i="1" s="1"/>
  <c r="AU38" i="1"/>
  <c r="AT38" i="1" s="1"/>
  <c r="K19" i="1" a="1"/>
  <c r="K19" i="1" s="1"/>
  <c r="K20" i="1" a="1"/>
  <c r="K20" i="1" s="1"/>
  <c r="N19" i="1" a="1"/>
  <c r="N19" i="1" s="1"/>
  <c r="N20" i="1" a="1"/>
  <c r="N20" i="1" s="1"/>
  <c r="Q19" i="1" a="1"/>
  <c r="Q19" i="1" s="1"/>
  <c r="Q20" i="1" a="1"/>
  <c r="Q20" i="1" s="1"/>
  <c r="T19" i="1" a="1"/>
  <c r="T19" i="1" s="1"/>
  <c r="T20" i="1" a="1"/>
  <c r="T20" i="1" s="1"/>
  <c r="W19" i="1" a="1"/>
  <c r="W19" i="1" s="1"/>
  <c r="W20" i="1" a="1"/>
  <c r="W20" i="1" s="1"/>
  <c r="Z19" i="1" a="1"/>
  <c r="Z19" i="1" s="1"/>
  <c r="Z20" i="1" a="1"/>
  <c r="Z20" i="1" s="1"/>
  <c r="AC19" i="1" a="1"/>
  <c r="AC19" i="1" s="1"/>
  <c r="AC20" i="1" a="1"/>
  <c r="AC20" i="1" s="1"/>
  <c r="AF19" i="1" a="1"/>
  <c r="AF19" i="1" s="1"/>
  <c r="AF20" i="1" a="1"/>
  <c r="AF20" i="1" s="1"/>
  <c r="AI19" i="1" a="1"/>
  <c r="AI19" i="1" s="1"/>
  <c r="AI20" i="1" a="1"/>
  <c r="AI20" i="1" s="1"/>
  <c r="AL19" i="1" a="1"/>
  <c r="AL19" i="1" s="1"/>
  <c r="AL20" i="1" a="1"/>
  <c r="AL20" i="1" s="1"/>
  <c r="AU19" i="1"/>
  <c r="AT19" i="1" s="1"/>
  <c r="AT19" i="9" s="1"/>
  <c r="AU20" i="1"/>
  <c r="AT20" i="1" s="1"/>
  <c r="AT20" i="9" s="1"/>
  <c r="K18" i="1" a="1"/>
  <c r="K18" i="1" s="1"/>
  <c r="K21" i="1" a="1"/>
  <c r="K21" i="1" s="1"/>
  <c r="N18" i="1" a="1"/>
  <c r="N18" i="1" s="1"/>
  <c r="N21" i="1" a="1"/>
  <c r="N21" i="1" s="1"/>
  <c r="Q18" i="1" a="1"/>
  <c r="Q18" i="1" s="1"/>
  <c r="Q21" i="1" a="1"/>
  <c r="Q21" i="1" s="1"/>
  <c r="T18" i="1" a="1"/>
  <c r="T18" i="1" s="1"/>
  <c r="T21" i="1" a="1"/>
  <c r="T21" i="1" s="1"/>
  <c r="W18" i="1" a="1"/>
  <c r="W18" i="1" s="1"/>
  <c r="W21" i="1" a="1"/>
  <c r="W21" i="1" s="1"/>
  <c r="Z18" i="1" a="1"/>
  <c r="Z18" i="1" s="1"/>
  <c r="Z21" i="1" a="1"/>
  <c r="Z21" i="1" s="1"/>
  <c r="AC18" i="1" a="1"/>
  <c r="AC18" i="1" s="1"/>
  <c r="AC21" i="1" a="1"/>
  <c r="AC21" i="1" s="1"/>
  <c r="AF18" i="1" a="1"/>
  <c r="AF18" i="1" s="1"/>
  <c r="AF21" i="1" a="1"/>
  <c r="AF21" i="1" s="1"/>
  <c r="AI18" i="1" a="1"/>
  <c r="AI18" i="1" s="1"/>
  <c r="AI21" i="1" a="1"/>
  <c r="AI21" i="1" s="1"/>
  <c r="AL18" i="1" a="1"/>
  <c r="AL18" i="1" s="1"/>
  <c r="AL21" i="1" a="1"/>
  <c r="AL21" i="1" s="1"/>
  <c r="AP18" i="1"/>
  <c r="AV18" i="1" s="1"/>
  <c r="AP21" i="1"/>
  <c r="AV21" i="1" s="1"/>
  <c r="AU18" i="1"/>
  <c r="AT18" i="1" s="1"/>
  <c r="AT18" i="9" s="1"/>
  <c r="AU21" i="1"/>
  <c r="AT21" i="1" s="1"/>
  <c r="AT21" i="9" s="1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E158" i="9"/>
  <c r="AO158" i="9" s="1"/>
  <c r="E159" i="9"/>
  <c r="AO159" i="9" s="1"/>
  <c r="E160" i="9"/>
  <c r="AO160" i="9" s="1"/>
  <c r="E161" i="9"/>
  <c r="AO161" i="9" s="1"/>
  <c r="E162" i="9"/>
  <c r="AO162" i="9" s="1"/>
  <c r="E163" i="9"/>
  <c r="AO163" i="9" s="1"/>
  <c r="E164" i="9"/>
  <c r="AO164" i="9" s="1"/>
  <c r="E165" i="9"/>
  <c r="AO165" i="9" s="1"/>
  <c r="E166" i="9"/>
  <c r="AO166" i="9" s="1"/>
  <c r="E167" i="9"/>
  <c r="AO167" i="9" s="1"/>
  <c r="E168" i="9"/>
  <c r="AO168" i="9" s="1"/>
  <c r="E169" i="9"/>
  <c r="AO169" i="9" s="1"/>
  <c r="E170" i="9"/>
  <c r="AO170" i="9" s="1"/>
  <c r="E171" i="9"/>
  <c r="AO171" i="9" s="1"/>
  <c r="E172" i="9"/>
  <c r="AO172" i="9" s="1"/>
  <c r="E173" i="9"/>
  <c r="AO173" i="9" s="1"/>
  <c r="E174" i="9"/>
  <c r="AO174" i="9" s="1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I158" i="9"/>
  <c r="Q158" i="9" s="1" a="1"/>
  <c r="Q158" i="9" s="1"/>
  <c r="I159" i="9"/>
  <c r="T159" i="9" s="1" a="1"/>
  <c r="T159" i="9" s="1"/>
  <c r="I160" i="9"/>
  <c r="I161" i="9"/>
  <c r="N161" i="9" s="1" a="1"/>
  <c r="N161" i="9" s="1"/>
  <c r="I162" i="9"/>
  <c r="AP162" i="9" s="1"/>
  <c r="AV162" i="9" s="1"/>
  <c r="I163" i="9"/>
  <c r="T163" i="9" s="1" a="1"/>
  <c r="T163" i="9" s="1"/>
  <c r="I164" i="9"/>
  <c r="N164" i="9" s="1" a="1"/>
  <c r="N164" i="9" s="1"/>
  <c r="I165" i="9"/>
  <c r="Q165" i="9" s="1" a="1"/>
  <c r="Q165" i="9" s="1"/>
  <c r="I166" i="9"/>
  <c r="Q166" i="9" s="1" a="1"/>
  <c r="Q166" i="9" s="1"/>
  <c r="I167" i="9"/>
  <c r="AP167" i="9" s="1"/>
  <c r="AV167" i="9" s="1"/>
  <c r="I168" i="9"/>
  <c r="AF168" i="9" s="1" a="1"/>
  <c r="AF168" i="9" s="1"/>
  <c r="I169" i="9"/>
  <c r="Z169" i="9" s="1" a="1"/>
  <c r="Z169" i="9" s="1"/>
  <c r="I170" i="9"/>
  <c r="Z170" i="9" s="1" a="1"/>
  <c r="Z170" i="9" s="1"/>
  <c r="I171" i="9"/>
  <c r="W171" i="9" s="1" a="1"/>
  <c r="W171" i="9" s="1"/>
  <c r="I172" i="9"/>
  <c r="W172" i="9" s="1" a="1"/>
  <c r="W172" i="9" s="1"/>
  <c r="I173" i="9"/>
  <c r="AL173" i="9" s="1" a="1"/>
  <c r="AL173" i="9" s="1"/>
  <c r="I174" i="9"/>
  <c r="Z174" i="9" s="1" a="1"/>
  <c r="Z174" i="9" s="1"/>
  <c r="J158" i="9" a="1"/>
  <c r="J158" i="9" s="1"/>
  <c r="J159" i="9" a="1"/>
  <c r="J159" i="9" s="1"/>
  <c r="J160" i="9" a="1"/>
  <c r="J160" i="9" s="1"/>
  <c r="J161" i="9" a="1"/>
  <c r="J161" i="9" s="1"/>
  <c r="J162" i="9" a="1"/>
  <c r="J162" i="9" s="1"/>
  <c r="J163" i="9" a="1"/>
  <c r="J163" i="9" s="1"/>
  <c r="J164" i="9" a="1"/>
  <c r="J164" i="9" s="1"/>
  <c r="J165" i="9" a="1"/>
  <c r="J165" i="9" s="1"/>
  <c r="J166" i="9" a="1"/>
  <c r="J166" i="9" s="1"/>
  <c r="J167" i="9" a="1"/>
  <c r="J167" i="9" s="1"/>
  <c r="J168" i="9" a="1"/>
  <c r="J168" i="9" s="1"/>
  <c r="J169" i="9" a="1"/>
  <c r="J169" i="9" s="1"/>
  <c r="J170" i="9" a="1"/>
  <c r="J170" i="9" s="1"/>
  <c r="J171" i="9" a="1"/>
  <c r="J171" i="9" s="1"/>
  <c r="J172" i="9" a="1"/>
  <c r="J172" i="9" s="1"/>
  <c r="J173" i="9" a="1"/>
  <c r="J173" i="9" s="1"/>
  <c r="J174" i="9" a="1"/>
  <c r="J174" i="9" s="1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M158" i="9" a="1"/>
  <c r="M158" i="9" s="1"/>
  <c r="M159" i="9" a="1"/>
  <c r="M159" i="9" s="1"/>
  <c r="M160" i="9" a="1"/>
  <c r="M160" i="9" s="1"/>
  <c r="M161" i="9" a="1"/>
  <c r="M161" i="9" s="1"/>
  <c r="M162" i="9" a="1"/>
  <c r="M162" i="9" s="1"/>
  <c r="M163" i="9" a="1"/>
  <c r="M163" i="9" s="1"/>
  <c r="M164" i="9" a="1"/>
  <c r="M164" i="9" s="1"/>
  <c r="M165" i="9" a="1"/>
  <c r="M165" i="9" s="1"/>
  <c r="M166" i="9" a="1"/>
  <c r="M166" i="9" s="1"/>
  <c r="M167" i="9" a="1"/>
  <c r="M167" i="9" s="1"/>
  <c r="M168" i="9" a="1"/>
  <c r="M168" i="9" s="1"/>
  <c r="M169" i="9" a="1"/>
  <c r="M169" i="9" s="1"/>
  <c r="M170" i="9" a="1"/>
  <c r="M170" i="9" s="1"/>
  <c r="M171" i="9" a="1"/>
  <c r="M171" i="9" s="1"/>
  <c r="M172" i="9" a="1"/>
  <c r="M172" i="9" s="1"/>
  <c r="M173" i="9" a="1"/>
  <c r="M173" i="9" s="1"/>
  <c r="M174" i="9" a="1"/>
  <c r="M174" i="9" s="1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P158" i="9" a="1"/>
  <c r="P158" i="9" s="1"/>
  <c r="P159" i="9" a="1"/>
  <c r="P159" i="9" s="1"/>
  <c r="P160" i="9" a="1"/>
  <c r="P160" i="9" s="1"/>
  <c r="P161" i="9" a="1"/>
  <c r="P161" i="9" s="1"/>
  <c r="P162" i="9" a="1"/>
  <c r="P162" i="9" s="1"/>
  <c r="P163" i="9" a="1"/>
  <c r="P163" i="9" s="1"/>
  <c r="P164" i="9" a="1"/>
  <c r="P164" i="9" s="1"/>
  <c r="P165" i="9" a="1"/>
  <c r="P165" i="9" s="1"/>
  <c r="P166" i="9" a="1"/>
  <c r="P166" i="9" s="1"/>
  <c r="P167" i="9" a="1"/>
  <c r="P167" i="9" s="1"/>
  <c r="P168" i="9" a="1"/>
  <c r="P168" i="9" s="1"/>
  <c r="P169" i="9" a="1"/>
  <c r="P169" i="9" s="1"/>
  <c r="P170" i="9" a="1"/>
  <c r="P170" i="9" s="1"/>
  <c r="P171" i="9" a="1"/>
  <c r="P171" i="9" s="1"/>
  <c r="P172" i="9" a="1"/>
  <c r="P172" i="9" s="1"/>
  <c r="P173" i="9" a="1"/>
  <c r="P173" i="9" s="1"/>
  <c r="P174" i="9" a="1"/>
  <c r="P174" i="9" s="1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S158" i="9" a="1"/>
  <c r="S158" i="9" s="1"/>
  <c r="S159" i="9" a="1"/>
  <c r="S159" i="9" s="1"/>
  <c r="S160" i="9" a="1"/>
  <c r="S160" i="9" s="1"/>
  <c r="S161" i="9" a="1"/>
  <c r="S161" i="9" s="1"/>
  <c r="S162" i="9" a="1"/>
  <c r="S162" i="9" s="1"/>
  <c r="S163" i="9" a="1"/>
  <c r="S163" i="9" s="1"/>
  <c r="S164" i="9" a="1"/>
  <c r="S164" i="9" s="1"/>
  <c r="S165" i="9" a="1"/>
  <c r="S165" i="9" s="1"/>
  <c r="S166" i="9" a="1"/>
  <c r="S166" i="9" s="1"/>
  <c r="S167" i="9" a="1"/>
  <c r="S167" i="9" s="1"/>
  <c r="S168" i="9" a="1"/>
  <c r="S168" i="9" s="1"/>
  <c r="S169" i="9" a="1"/>
  <c r="S169" i="9" s="1"/>
  <c r="S170" i="9" a="1"/>
  <c r="S170" i="9" s="1"/>
  <c r="S171" i="9" a="1"/>
  <c r="S171" i="9" s="1"/>
  <c r="S172" i="9" a="1"/>
  <c r="S172" i="9" s="1"/>
  <c r="S173" i="9" a="1"/>
  <c r="S173" i="9" s="1"/>
  <c r="S174" i="9" a="1"/>
  <c r="S174" i="9" s="1"/>
  <c r="U158" i="9"/>
  <c r="U159" i="9"/>
  <c r="U160" i="9"/>
  <c r="U161" i="9"/>
  <c r="U162" i="9"/>
  <c r="U163" i="9"/>
  <c r="U164" i="9"/>
  <c r="U165" i="9"/>
  <c r="U166" i="9"/>
  <c r="U167" i="9"/>
  <c r="U168" i="9"/>
  <c r="U169" i="9"/>
  <c r="U170" i="9"/>
  <c r="U171" i="9"/>
  <c r="U172" i="9"/>
  <c r="U173" i="9"/>
  <c r="U174" i="9"/>
  <c r="V158" i="9" a="1"/>
  <c r="V158" i="9" s="1"/>
  <c r="V159" i="9" a="1"/>
  <c r="V159" i="9" s="1"/>
  <c r="V160" i="9" a="1"/>
  <c r="V160" i="9" s="1"/>
  <c r="V161" i="9" a="1"/>
  <c r="V161" i="9" s="1"/>
  <c r="V162" i="9" a="1"/>
  <c r="V162" i="9" s="1"/>
  <c r="V163" i="9" a="1"/>
  <c r="V163" i="9" s="1"/>
  <c r="V164" i="9" a="1"/>
  <c r="V164" i="9" s="1"/>
  <c r="V165" i="9" a="1"/>
  <c r="V165" i="9" s="1"/>
  <c r="V166" i="9" a="1"/>
  <c r="V166" i="9" s="1"/>
  <c r="V167" i="9" a="1"/>
  <c r="V167" i="9" s="1"/>
  <c r="V168" i="9" a="1"/>
  <c r="V168" i="9" s="1"/>
  <c r="V169" i="9" a="1"/>
  <c r="V169" i="9" s="1"/>
  <c r="V170" i="9" a="1"/>
  <c r="V170" i="9" s="1"/>
  <c r="V171" i="9" a="1"/>
  <c r="V171" i="9" s="1"/>
  <c r="V172" i="9" a="1"/>
  <c r="V172" i="9" s="1"/>
  <c r="V173" i="9" a="1"/>
  <c r="V173" i="9" s="1"/>
  <c r="V174" i="9" a="1"/>
  <c r="V174" i="9" s="1"/>
  <c r="X158" i="9"/>
  <c r="X159" i="9"/>
  <c r="X160" i="9"/>
  <c r="X161" i="9"/>
  <c r="X162" i="9"/>
  <c r="X163" i="9"/>
  <c r="X164" i="9"/>
  <c r="X165" i="9"/>
  <c r="X166" i="9"/>
  <c r="X167" i="9"/>
  <c r="X168" i="9"/>
  <c r="X169" i="9"/>
  <c r="X170" i="9"/>
  <c r="X171" i="9"/>
  <c r="X172" i="9"/>
  <c r="X173" i="9"/>
  <c r="X174" i="9"/>
  <c r="Y158" i="9" a="1"/>
  <c r="Y158" i="9" s="1"/>
  <c r="Y159" i="9" a="1"/>
  <c r="Y159" i="9" s="1"/>
  <c r="Y160" i="9" a="1"/>
  <c r="Y160" i="9" s="1"/>
  <c r="Y161" i="9" a="1"/>
  <c r="Y161" i="9" s="1"/>
  <c r="Y162" i="9" a="1"/>
  <c r="Y162" i="9" s="1"/>
  <c r="Y163" i="9" a="1"/>
  <c r="Y163" i="9" s="1"/>
  <c r="Y164" i="9" a="1"/>
  <c r="Y164" i="9" s="1"/>
  <c r="Y165" i="9" a="1"/>
  <c r="Y165" i="9" s="1"/>
  <c r="Y166" i="9" a="1"/>
  <c r="Y166" i="9" s="1"/>
  <c r="Y167" i="9" a="1"/>
  <c r="Y167" i="9" s="1"/>
  <c r="Y168" i="9" a="1"/>
  <c r="Y168" i="9" s="1"/>
  <c r="Y169" i="9" a="1"/>
  <c r="Y169" i="9" s="1"/>
  <c r="Y170" i="9" a="1"/>
  <c r="Y170" i="9" s="1"/>
  <c r="Y171" i="9" a="1"/>
  <c r="Y171" i="9" s="1"/>
  <c r="Y172" i="9" a="1"/>
  <c r="Y172" i="9" s="1"/>
  <c r="Y173" i="9" a="1"/>
  <c r="Y173" i="9" s="1"/>
  <c r="Y174" i="9" a="1"/>
  <c r="Y174" i="9" s="1"/>
  <c r="AA158" i="9"/>
  <c r="AA159" i="9"/>
  <c r="AA160" i="9"/>
  <c r="AA161" i="9"/>
  <c r="AA162" i="9"/>
  <c r="AA163" i="9"/>
  <c r="AA164" i="9"/>
  <c r="AA165" i="9"/>
  <c r="AA166" i="9"/>
  <c r="AA167" i="9"/>
  <c r="AA168" i="9"/>
  <c r="AA169" i="9"/>
  <c r="AA170" i="9"/>
  <c r="AA171" i="9"/>
  <c r="AA172" i="9"/>
  <c r="AA173" i="9"/>
  <c r="AA174" i="9"/>
  <c r="AB158" i="9" a="1"/>
  <c r="AB158" i="9" s="1"/>
  <c r="AB159" i="9" a="1"/>
  <c r="AB159" i="9" s="1"/>
  <c r="AB160" i="9" a="1"/>
  <c r="AB160" i="9" s="1"/>
  <c r="AB161" i="9" a="1"/>
  <c r="AB161" i="9" s="1"/>
  <c r="AB162" i="9" a="1"/>
  <c r="AB162" i="9" s="1"/>
  <c r="AB163" i="9" a="1"/>
  <c r="AB163" i="9" s="1"/>
  <c r="AB164" i="9" a="1"/>
  <c r="AB164" i="9" s="1"/>
  <c r="AB165" i="9" a="1"/>
  <c r="AB165" i="9" s="1"/>
  <c r="AB166" i="9" a="1"/>
  <c r="AB166" i="9" s="1"/>
  <c r="AB167" i="9" a="1"/>
  <c r="AB167" i="9" s="1"/>
  <c r="AB168" i="9" a="1"/>
  <c r="AB168" i="9" s="1"/>
  <c r="AB169" i="9" a="1"/>
  <c r="AB169" i="9" s="1"/>
  <c r="AB170" i="9" a="1"/>
  <c r="AB170" i="9" s="1"/>
  <c r="AB171" i="9" a="1"/>
  <c r="AB171" i="9" s="1"/>
  <c r="AB172" i="9" a="1"/>
  <c r="AB172" i="9" s="1"/>
  <c r="AB173" i="9" a="1"/>
  <c r="AB173" i="9" s="1"/>
  <c r="AB174" i="9" a="1"/>
  <c r="AB174" i="9" s="1"/>
  <c r="AD158" i="9"/>
  <c r="AD159" i="9"/>
  <c r="AD160" i="9"/>
  <c r="AD161" i="9"/>
  <c r="AD162" i="9"/>
  <c r="AD163" i="9"/>
  <c r="AD164" i="9"/>
  <c r="AD165" i="9"/>
  <c r="AD166" i="9"/>
  <c r="AD167" i="9"/>
  <c r="AD168" i="9"/>
  <c r="AD169" i="9"/>
  <c r="AD170" i="9"/>
  <c r="AD171" i="9"/>
  <c r="AD172" i="9"/>
  <c r="AD173" i="9"/>
  <c r="AD174" i="9"/>
  <c r="AE158" i="9" a="1"/>
  <c r="AE158" i="9" s="1"/>
  <c r="AE159" i="9" a="1"/>
  <c r="AE159" i="9" s="1"/>
  <c r="AE160" i="9" a="1"/>
  <c r="AE160" i="9" s="1"/>
  <c r="AE161" i="9" a="1"/>
  <c r="AE161" i="9" s="1"/>
  <c r="AE162" i="9" a="1"/>
  <c r="AE162" i="9" s="1"/>
  <c r="AE163" i="9" a="1"/>
  <c r="AE163" i="9" s="1"/>
  <c r="AE164" i="9" a="1"/>
  <c r="AE164" i="9" s="1"/>
  <c r="AE165" i="9" a="1"/>
  <c r="AE165" i="9" s="1"/>
  <c r="AE166" i="9" a="1"/>
  <c r="AE166" i="9" s="1"/>
  <c r="AE167" i="9" a="1"/>
  <c r="AE167" i="9" s="1"/>
  <c r="AE168" i="9" a="1"/>
  <c r="AE168" i="9" s="1"/>
  <c r="AE169" i="9" a="1"/>
  <c r="AE169" i="9" s="1"/>
  <c r="AE170" i="9" a="1"/>
  <c r="AE170" i="9" s="1"/>
  <c r="AE171" i="9" a="1"/>
  <c r="AE171" i="9" s="1"/>
  <c r="AE172" i="9" a="1"/>
  <c r="AE172" i="9" s="1"/>
  <c r="AE173" i="9" a="1"/>
  <c r="AE173" i="9" s="1"/>
  <c r="AE174" i="9" a="1"/>
  <c r="AE174" i="9" s="1"/>
  <c r="AG158" i="9"/>
  <c r="AG159" i="9"/>
  <c r="AG160" i="9"/>
  <c r="AG161" i="9"/>
  <c r="AG162" i="9"/>
  <c r="AG163" i="9"/>
  <c r="AG164" i="9"/>
  <c r="AG165" i="9"/>
  <c r="AG166" i="9"/>
  <c r="AG167" i="9"/>
  <c r="AG168" i="9"/>
  <c r="AG169" i="9"/>
  <c r="AG170" i="9"/>
  <c r="AG171" i="9"/>
  <c r="AG172" i="9"/>
  <c r="AG173" i="9"/>
  <c r="AG174" i="9"/>
  <c r="AH158" i="9" a="1"/>
  <c r="AH158" i="9" s="1"/>
  <c r="AH159" i="9" a="1"/>
  <c r="AH159" i="9" s="1"/>
  <c r="AH160" i="9" a="1"/>
  <c r="AH160" i="9" s="1"/>
  <c r="AH161" i="9" a="1"/>
  <c r="AH161" i="9" s="1"/>
  <c r="AH162" i="9" a="1"/>
  <c r="AH162" i="9" s="1"/>
  <c r="AH163" i="9" a="1"/>
  <c r="AH163" i="9" s="1"/>
  <c r="AH164" i="9" a="1"/>
  <c r="AH164" i="9" s="1"/>
  <c r="AH165" i="9" a="1"/>
  <c r="AH165" i="9" s="1"/>
  <c r="AH166" i="9" a="1"/>
  <c r="AH166" i="9" s="1"/>
  <c r="AH167" i="9" a="1"/>
  <c r="AH167" i="9" s="1"/>
  <c r="AH168" i="9" a="1"/>
  <c r="AH168" i="9" s="1"/>
  <c r="AH169" i="9" a="1"/>
  <c r="AH169" i="9" s="1"/>
  <c r="AH170" i="9" a="1"/>
  <c r="AH170" i="9" s="1"/>
  <c r="AH171" i="9" a="1"/>
  <c r="AH171" i="9" s="1"/>
  <c r="AH172" i="9" a="1"/>
  <c r="AH172" i="9" s="1"/>
  <c r="AH173" i="9" a="1"/>
  <c r="AH173" i="9" s="1"/>
  <c r="AH174" i="9" a="1"/>
  <c r="AH174" i="9" s="1"/>
  <c r="AJ158" i="9"/>
  <c r="AJ159" i="9"/>
  <c r="AJ160" i="9"/>
  <c r="AJ161" i="9"/>
  <c r="AJ162" i="9"/>
  <c r="AJ163" i="9"/>
  <c r="AJ164" i="9"/>
  <c r="AJ165" i="9"/>
  <c r="AJ166" i="9"/>
  <c r="AJ167" i="9"/>
  <c r="AJ168" i="9"/>
  <c r="AJ169" i="9"/>
  <c r="AJ170" i="9"/>
  <c r="AJ171" i="9"/>
  <c r="AJ172" i="9"/>
  <c r="AJ173" i="9"/>
  <c r="AJ174" i="9"/>
  <c r="AK158" i="9" a="1"/>
  <c r="AK158" i="9" s="1"/>
  <c r="AK159" i="9" a="1"/>
  <c r="AK159" i="9" s="1"/>
  <c r="AK160" i="9" a="1"/>
  <c r="AK160" i="9" s="1"/>
  <c r="AK161" i="9" a="1"/>
  <c r="AK161" i="9" s="1"/>
  <c r="AK162" i="9" a="1"/>
  <c r="AK162" i="9" s="1"/>
  <c r="AK163" i="9" a="1"/>
  <c r="AK163" i="9" s="1"/>
  <c r="AK164" i="9" a="1"/>
  <c r="AK164" i="9" s="1"/>
  <c r="AK165" i="9" a="1"/>
  <c r="AK165" i="9" s="1"/>
  <c r="AK166" i="9" a="1"/>
  <c r="AK166" i="9" s="1"/>
  <c r="AK167" i="9" a="1"/>
  <c r="AK167" i="9" s="1"/>
  <c r="AK168" i="9" a="1"/>
  <c r="AK168" i="9" s="1"/>
  <c r="AK169" i="9" a="1"/>
  <c r="AK169" i="9" s="1"/>
  <c r="AK170" i="9" a="1"/>
  <c r="AK170" i="9" s="1"/>
  <c r="AK171" i="9" a="1"/>
  <c r="AK171" i="9" s="1"/>
  <c r="AK172" i="9" a="1"/>
  <c r="AK172" i="9" s="1"/>
  <c r="AK173" i="9" a="1"/>
  <c r="AK173" i="9" s="1"/>
  <c r="AK174" i="9" a="1"/>
  <c r="AK174" i="9" s="1"/>
  <c r="AM158" i="9"/>
  <c r="AM159" i="9"/>
  <c r="AM160" i="9"/>
  <c r="AM161" i="9"/>
  <c r="AM162" i="9"/>
  <c r="AM163" i="9"/>
  <c r="AM164" i="9"/>
  <c r="AM165" i="9"/>
  <c r="AM166" i="9"/>
  <c r="AM167" i="9"/>
  <c r="AM168" i="9"/>
  <c r="AM169" i="9"/>
  <c r="AM170" i="9"/>
  <c r="AM171" i="9"/>
  <c r="AM172" i="9"/>
  <c r="AM173" i="9"/>
  <c r="AM174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E138" i="9"/>
  <c r="AO138" i="9" s="1"/>
  <c r="E139" i="9"/>
  <c r="AO139" i="9" s="1"/>
  <c r="E140" i="9"/>
  <c r="AO140" i="9" s="1"/>
  <c r="E141" i="9"/>
  <c r="AO141" i="9" s="1"/>
  <c r="E142" i="9"/>
  <c r="AO142" i="9" s="1"/>
  <c r="E143" i="9"/>
  <c r="AO143" i="9" s="1"/>
  <c r="E144" i="9"/>
  <c r="AO144" i="9" s="1"/>
  <c r="E145" i="9"/>
  <c r="AO145" i="9" s="1"/>
  <c r="E146" i="9"/>
  <c r="AO146" i="9" s="1"/>
  <c r="E147" i="9"/>
  <c r="AO147" i="9" s="1"/>
  <c r="E148" i="9"/>
  <c r="AO148" i="9" s="1"/>
  <c r="E149" i="9"/>
  <c r="AO149" i="9" s="1"/>
  <c r="E150" i="9"/>
  <c r="AO150" i="9" s="1"/>
  <c r="E151" i="9"/>
  <c r="AO151" i="9" s="1"/>
  <c r="E152" i="9"/>
  <c r="AO152" i="9" s="1"/>
  <c r="E153" i="9"/>
  <c r="AO153" i="9" s="1"/>
  <c r="E154" i="9"/>
  <c r="AO154" i="9" s="1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I138" i="9"/>
  <c r="Q138" i="9" s="1" a="1"/>
  <c r="Q138" i="9" s="1"/>
  <c r="I139" i="9"/>
  <c r="AI139" i="9" s="1" a="1"/>
  <c r="AI139" i="9" s="1"/>
  <c r="I140" i="9"/>
  <c r="AP140" i="9" s="1"/>
  <c r="AV140" i="9" s="1"/>
  <c r="I141" i="9"/>
  <c r="Z141" i="9" s="1" a="1"/>
  <c r="Z141" i="9" s="1"/>
  <c r="I142" i="9"/>
  <c r="AC142" i="9" s="1" a="1"/>
  <c r="AC142" i="9" s="1"/>
  <c r="I143" i="9"/>
  <c r="AI143" i="9" s="1" a="1"/>
  <c r="AI143" i="9" s="1"/>
  <c r="I144" i="9"/>
  <c r="I145" i="9"/>
  <c r="Z145" i="9" s="1" a="1"/>
  <c r="Z145" i="9" s="1"/>
  <c r="I146" i="9"/>
  <c r="AF146" i="9" s="1" a="1"/>
  <c r="AF146" i="9" s="1"/>
  <c r="I147" i="9"/>
  <c r="AP147" i="9" s="1"/>
  <c r="AV147" i="9" s="1"/>
  <c r="I148" i="9"/>
  <c r="AF148" i="9" s="1" a="1"/>
  <c r="AF148" i="9" s="1"/>
  <c r="I149" i="9"/>
  <c r="AI149" i="9" s="1" a="1"/>
  <c r="AI149" i="9" s="1"/>
  <c r="I150" i="9"/>
  <c r="Q150" i="9" s="1" a="1"/>
  <c r="Q150" i="9" s="1"/>
  <c r="I151" i="9"/>
  <c r="AP151" i="9" s="1"/>
  <c r="AV151" i="9" s="1"/>
  <c r="I152" i="9"/>
  <c r="AI152" i="9" s="1" a="1"/>
  <c r="AI152" i="9" s="1"/>
  <c r="I153" i="9"/>
  <c r="AL153" i="9" s="1" a="1"/>
  <c r="AL153" i="9" s="1"/>
  <c r="I154" i="9"/>
  <c r="AC154" i="9" s="1" a="1"/>
  <c r="AC154" i="9" s="1"/>
  <c r="J138" i="9" a="1"/>
  <c r="J138" i="9" s="1"/>
  <c r="J139" i="9" a="1"/>
  <c r="J139" i="9" s="1"/>
  <c r="J140" i="9" a="1"/>
  <c r="J140" i="9" s="1"/>
  <c r="J141" i="9" a="1"/>
  <c r="J141" i="9" s="1"/>
  <c r="J142" i="9" a="1"/>
  <c r="J142" i="9" s="1"/>
  <c r="J143" i="9" a="1"/>
  <c r="J143" i="9" s="1"/>
  <c r="J144" i="9" a="1"/>
  <c r="J144" i="9" s="1"/>
  <c r="J145" i="9" a="1"/>
  <c r="J145" i="9" s="1"/>
  <c r="J146" i="9" a="1"/>
  <c r="J146" i="9" s="1"/>
  <c r="J147" i="9" a="1"/>
  <c r="J147" i="9" s="1"/>
  <c r="J148" i="9" a="1"/>
  <c r="J148" i="9" s="1"/>
  <c r="J149" i="9" a="1"/>
  <c r="J149" i="9" s="1"/>
  <c r="J150" i="9" a="1"/>
  <c r="J150" i="9" s="1"/>
  <c r="J151" i="9" a="1"/>
  <c r="J151" i="9" s="1"/>
  <c r="J152" i="9" a="1"/>
  <c r="J152" i="9" s="1"/>
  <c r="J153" i="9" a="1"/>
  <c r="J153" i="9" s="1"/>
  <c r="J154" i="9" a="1"/>
  <c r="J154" i="9" s="1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M138" i="9" a="1"/>
  <c r="M138" i="9" s="1"/>
  <c r="M139" i="9" a="1"/>
  <c r="M139" i="9" s="1"/>
  <c r="M140" i="9" a="1"/>
  <c r="M140" i="9" s="1"/>
  <c r="M141" i="9" a="1"/>
  <c r="M141" i="9" s="1"/>
  <c r="M142" i="9" a="1"/>
  <c r="M142" i="9" s="1"/>
  <c r="M143" i="9" a="1"/>
  <c r="M143" i="9" s="1"/>
  <c r="M144" i="9" a="1"/>
  <c r="M144" i="9" s="1"/>
  <c r="M145" i="9" a="1"/>
  <c r="M145" i="9" s="1"/>
  <c r="M146" i="9" a="1"/>
  <c r="M146" i="9" s="1"/>
  <c r="M147" i="9" a="1"/>
  <c r="M147" i="9" s="1"/>
  <c r="M148" i="9" a="1"/>
  <c r="M148" i="9" s="1"/>
  <c r="M149" i="9" a="1"/>
  <c r="M149" i="9" s="1"/>
  <c r="M150" i="9" a="1"/>
  <c r="M150" i="9" s="1"/>
  <c r="M151" i="9" a="1"/>
  <c r="M151" i="9" s="1"/>
  <c r="M152" i="9" a="1"/>
  <c r="M152" i="9" s="1"/>
  <c r="M153" i="9" a="1"/>
  <c r="M153" i="9" s="1"/>
  <c r="M154" i="9" a="1"/>
  <c r="M154" i="9" s="1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P138" i="9" a="1"/>
  <c r="P138" i="9" s="1"/>
  <c r="P139" i="9" a="1"/>
  <c r="P139" i="9" s="1"/>
  <c r="P140" i="9" a="1"/>
  <c r="P140" i="9" s="1"/>
  <c r="P141" i="9" a="1"/>
  <c r="P141" i="9" s="1"/>
  <c r="P142" i="9" a="1"/>
  <c r="P142" i="9" s="1"/>
  <c r="P143" i="9" a="1"/>
  <c r="P143" i="9" s="1"/>
  <c r="P144" i="9" a="1"/>
  <c r="P144" i="9" s="1"/>
  <c r="P145" i="9" a="1"/>
  <c r="P145" i="9" s="1"/>
  <c r="P146" i="9" a="1"/>
  <c r="P146" i="9" s="1"/>
  <c r="P147" i="9" a="1"/>
  <c r="P147" i="9" s="1"/>
  <c r="P148" i="9" a="1"/>
  <c r="P148" i="9" s="1"/>
  <c r="P149" i="9" a="1"/>
  <c r="P149" i="9" s="1"/>
  <c r="P150" i="9" a="1"/>
  <c r="P150" i="9" s="1"/>
  <c r="P151" i="9" a="1"/>
  <c r="P151" i="9" s="1"/>
  <c r="P152" i="9" a="1"/>
  <c r="P152" i="9" s="1"/>
  <c r="P153" i="9" a="1"/>
  <c r="P153" i="9" s="1"/>
  <c r="P154" i="9" a="1"/>
  <c r="P154" i="9" s="1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S138" i="9" a="1"/>
  <c r="S138" i="9" s="1"/>
  <c r="S139" i="9" a="1"/>
  <c r="S139" i="9" s="1"/>
  <c r="S140" i="9" a="1"/>
  <c r="S140" i="9" s="1"/>
  <c r="S141" i="9" a="1"/>
  <c r="S141" i="9" s="1"/>
  <c r="S142" i="9" a="1"/>
  <c r="S142" i="9" s="1"/>
  <c r="S143" i="9" a="1"/>
  <c r="S143" i="9" s="1"/>
  <c r="S144" i="9" a="1"/>
  <c r="S144" i="9" s="1"/>
  <c r="S145" i="9" a="1"/>
  <c r="S145" i="9" s="1"/>
  <c r="S146" i="9" a="1"/>
  <c r="S146" i="9" s="1"/>
  <c r="S147" i="9" a="1"/>
  <c r="S147" i="9" s="1"/>
  <c r="S148" i="9" a="1"/>
  <c r="S148" i="9" s="1"/>
  <c r="S149" i="9" a="1"/>
  <c r="S149" i="9" s="1"/>
  <c r="S150" i="9" a="1"/>
  <c r="S150" i="9" s="1"/>
  <c r="S151" i="9" a="1"/>
  <c r="S151" i="9" s="1"/>
  <c r="S152" i="9" a="1"/>
  <c r="S152" i="9" s="1"/>
  <c r="S153" i="9" a="1"/>
  <c r="S153" i="9" s="1"/>
  <c r="S154" i="9" a="1"/>
  <c r="S154" i="9" s="1"/>
  <c r="U138" i="9"/>
  <c r="U139" i="9"/>
  <c r="U140" i="9"/>
  <c r="U141" i="9"/>
  <c r="U142" i="9"/>
  <c r="U143" i="9"/>
  <c r="U144" i="9"/>
  <c r="U145" i="9"/>
  <c r="U146" i="9"/>
  <c r="U147" i="9"/>
  <c r="U148" i="9"/>
  <c r="U149" i="9"/>
  <c r="U150" i="9"/>
  <c r="U151" i="9"/>
  <c r="U152" i="9"/>
  <c r="U153" i="9"/>
  <c r="U154" i="9"/>
  <c r="V138" i="9" a="1"/>
  <c r="V138" i="9" s="1"/>
  <c r="V139" i="9" a="1"/>
  <c r="V139" i="9" s="1"/>
  <c r="V140" i="9" a="1"/>
  <c r="V140" i="9" s="1"/>
  <c r="V141" i="9" a="1"/>
  <c r="V141" i="9" s="1"/>
  <c r="V142" i="9" a="1"/>
  <c r="V142" i="9" s="1"/>
  <c r="V143" i="9" a="1"/>
  <c r="V143" i="9" s="1"/>
  <c r="V144" i="9" a="1"/>
  <c r="V144" i="9" s="1"/>
  <c r="V145" i="9" a="1"/>
  <c r="V145" i="9" s="1"/>
  <c r="V146" i="9" a="1"/>
  <c r="V146" i="9" s="1"/>
  <c r="V147" i="9" a="1"/>
  <c r="V147" i="9" s="1"/>
  <c r="V148" i="9" a="1"/>
  <c r="V148" i="9" s="1"/>
  <c r="V149" i="9" a="1"/>
  <c r="V149" i="9" s="1"/>
  <c r="V150" i="9" a="1"/>
  <c r="V150" i="9" s="1"/>
  <c r="V151" i="9" a="1"/>
  <c r="V151" i="9" s="1"/>
  <c r="V152" i="9" a="1"/>
  <c r="V152" i="9" s="1"/>
  <c r="V153" i="9" a="1"/>
  <c r="V153" i="9" s="1"/>
  <c r="V154" i="9" a="1"/>
  <c r="V154" i="9" s="1"/>
  <c r="X138" i="9"/>
  <c r="X139" i="9"/>
  <c r="X140" i="9"/>
  <c r="X141" i="9"/>
  <c r="X142" i="9"/>
  <c r="X143" i="9"/>
  <c r="X144" i="9"/>
  <c r="X145" i="9"/>
  <c r="X146" i="9"/>
  <c r="X147" i="9"/>
  <c r="X148" i="9"/>
  <c r="X149" i="9"/>
  <c r="X150" i="9"/>
  <c r="X151" i="9"/>
  <c r="X152" i="9"/>
  <c r="X153" i="9"/>
  <c r="X154" i="9"/>
  <c r="Y138" i="9" a="1"/>
  <c r="Y138" i="9" s="1"/>
  <c r="Y139" i="9" a="1"/>
  <c r="Y139" i="9" s="1"/>
  <c r="Y140" i="9" a="1"/>
  <c r="Y140" i="9" s="1"/>
  <c r="Y141" i="9" a="1"/>
  <c r="Y141" i="9" s="1"/>
  <c r="Y142" i="9" a="1"/>
  <c r="Y142" i="9" s="1"/>
  <c r="Y143" i="9" a="1"/>
  <c r="Y143" i="9" s="1"/>
  <c r="Y144" i="9" a="1"/>
  <c r="Y144" i="9" s="1"/>
  <c r="Y145" i="9" a="1"/>
  <c r="Y145" i="9" s="1"/>
  <c r="Y146" i="9" a="1"/>
  <c r="Y146" i="9" s="1"/>
  <c r="Y147" i="9" a="1"/>
  <c r="Y147" i="9" s="1"/>
  <c r="Y148" i="9" a="1"/>
  <c r="Y148" i="9" s="1"/>
  <c r="Y149" i="9" a="1"/>
  <c r="Y149" i="9" s="1"/>
  <c r="Y150" i="9" a="1"/>
  <c r="Y150" i="9" s="1"/>
  <c r="Y151" i="9" a="1"/>
  <c r="Y151" i="9" s="1"/>
  <c r="Y152" i="9" a="1"/>
  <c r="Y152" i="9" s="1"/>
  <c r="Y153" i="9" a="1"/>
  <c r="Y153" i="9" s="1"/>
  <c r="Y154" i="9" a="1"/>
  <c r="Y154" i="9" s="1"/>
  <c r="AA138" i="9"/>
  <c r="AA139" i="9"/>
  <c r="AA140" i="9"/>
  <c r="AA141" i="9"/>
  <c r="AA142" i="9"/>
  <c r="AA143" i="9"/>
  <c r="AA144" i="9"/>
  <c r="AA145" i="9"/>
  <c r="AA146" i="9"/>
  <c r="AA147" i="9"/>
  <c r="AA148" i="9"/>
  <c r="AA149" i="9"/>
  <c r="AA150" i="9"/>
  <c r="AA151" i="9"/>
  <c r="AA152" i="9"/>
  <c r="AA153" i="9"/>
  <c r="AA154" i="9"/>
  <c r="AB138" i="9" a="1"/>
  <c r="AB138" i="9" s="1"/>
  <c r="AB139" i="9" a="1"/>
  <c r="AB139" i="9" s="1"/>
  <c r="AB140" i="9" a="1"/>
  <c r="AB140" i="9" s="1"/>
  <c r="AB141" i="9" a="1"/>
  <c r="AB141" i="9" s="1"/>
  <c r="AB142" i="9" a="1"/>
  <c r="AB142" i="9" s="1"/>
  <c r="AB143" i="9" a="1"/>
  <c r="AB143" i="9" s="1"/>
  <c r="AB144" i="9" a="1"/>
  <c r="AB144" i="9" s="1"/>
  <c r="AB145" i="9" a="1"/>
  <c r="AB145" i="9" s="1"/>
  <c r="AB146" i="9" a="1"/>
  <c r="AB146" i="9" s="1"/>
  <c r="AB147" i="9" a="1"/>
  <c r="AB147" i="9" s="1"/>
  <c r="AB148" i="9" a="1"/>
  <c r="AB148" i="9" s="1"/>
  <c r="AB149" i="9" a="1"/>
  <c r="AB149" i="9" s="1"/>
  <c r="AB150" i="9" a="1"/>
  <c r="AB150" i="9" s="1"/>
  <c r="AB151" i="9" a="1"/>
  <c r="AB151" i="9" s="1"/>
  <c r="AB152" i="9" a="1"/>
  <c r="AB152" i="9" s="1"/>
  <c r="AB153" i="9" a="1"/>
  <c r="AB153" i="9" s="1"/>
  <c r="AB154" i="9" a="1"/>
  <c r="AB154" i="9" s="1"/>
  <c r="AD138" i="9"/>
  <c r="AD139" i="9"/>
  <c r="AD140" i="9"/>
  <c r="AD141" i="9"/>
  <c r="AD142" i="9"/>
  <c r="AD143" i="9"/>
  <c r="AD144" i="9"/>
  <c r="AD145" i="9"/>
  <c r="AD146" i="9"/>
  <c r="AD147" i="9"/>
  <c r="AD148" i="9"/>
  <c r="AD149" i="9"/>
  <c r="AD150" i="9"/>
  <c r="AD151" i="9"/>
  <c r="AD152" i="9"/>
  <c r="AD153" i="9"/>
  <c r="AD154" i="9"/>
  <c r="AE138" i="9" a="1"/>
  <c r="AE138" i="9" s="1"/>
  <c r="AE139" i="9" a="1"/>
  <c r="AE139" i="9" s="1"/>
  <c r="AE140" i="9" a="1"/>
  <c r="AE140" i="9" s="1"/>
  <c r="AE141" i="9" a="1"/>
  <c r="AE141" i="9" s="1"/>
  <c r="AE142" i="9" a="1"/>
  <c r="AE142" i="9" s="1"/>
  <c r="AE143" i="9" a="1"/>
  <c r="AE143" i="9" s="1"/>
  <c r="AE144" i="9" a="1"/>
  <c r="AE144" i="9" s="1"/>
  <c r="AE145" i="9" a="1"/>
  <c r="AE145" i="9" s="1"/>
  <c r="AE146" i="9" a="1"/>
  <c r="AE146" i="9" s="1"/>
  <c r="AE147" i="9" a="1"/>
  <c r="AE147" i="9" s="1"/>
  <c r="AE148" i="9" a="1"/>
  <c r="AE148" i="9" s="1"/>
  <c r="AE149" i="9" a="1"/>
  <c r="AE149" i="9" s="1"/>
  <c r="AE150" i="9" a="1"/>
  <c r="AE150" i="9" s="1"/>
  <c r="AE151" i="9" a="1"/>
  <c r="AE151" i="9" s="1"/>
  <c r="AE152" i="9" a="1"/>
  <c r="AE152" i="9" s="1"/>
  <c r="AE153" i="9" a="1"/>
  <c r="AE153" i="9" s="1"/>
  <c r="AE154" i="9" a="1"/>
  <c r="AE154" i="9" s="1"/>
  <c r="AG138" i="9"/>
  <c r="AG139" i="9"/>
  <c r="AG140" i="9"/>
  <c r="AG141" i="9"/>
  <c r="AG142" i="9"/>
  <c r="AG143" i="9"/>
  <c r="AG144" i="9"/>
  <c r="AG145" i="9"/>
  <c r="AG146" i="9"/>
  <c r="AG147" i="9"/>
  <c r="AG148" i="9"/>
  <c r="AG149" i="9"/>
  <c r="AG150" i="9"/>
  <c r="AG151" i="9"/>
  <c r="AG152" i="9"/>
  <c r="AG153" i="9"/>
  <c r="AG154" i="9"/>
  <c r="AH138" i="9" a="1"/>
  <c r="AH138" i="9" s="1"/>
  <c r="AH139" i="9" a="1"/>
  <c r="AH139" i="9" s="1"/>
  <c r="AH140" i="9" a="1"/>
  <c r="AH140" i="9" s="1"/>
  <c r="AH141" i="9" a="1"/>
  <c r="AH141" i="9" s="1"/>
  <c r="AH142" i="9" a="1"/>
  <c r="AH142" i="9" s="1"/>
  <c r="AH143" i="9" a="1"/>
  <c r="AH143" i="9" s="1"/>
  <c r="AH144" i="9" a="1"/>
  <c r="AH144" i="9" s="1"/>
  <c r="AH145" i="9" a="1"/>
  <c r="AH145" i="9" s="1"/>
  <c r="AH146" i="9" a="1"/>
  <c r="AH146" i="9" s="1"/>
  <c r="AH147" i="9" a="1"/>
  <c r="AH147" i="9" s="1"/>
  <c r="AH148" i="9" a="1"/>
  <c r="AH148" i="9" s="1"/>
  <c r="AH149" i="9" a="1"/>
  <c r="AH149" i="9" s="1"/>
  <c r="AH150" i="9" a="1"/>
  <c r="AH150" i="9" s="1"/>
  <c r="AH151" i="9" a="1"/>
  <c r="AH151" i="9" s="1"/>
  <c r="AH152" i="9" a="1"/>
  <c r="AH152" i="9" s="1"/>
  <c r="AH153" i="9" a="1"/>
  <c r="AH153" i="9" s="1"/>
  <c r="AH154" i="9" a="1"/>
  <c r="AH154" i="9" s="1"/>
  <c r="AJ138" i="9"/>
  <c r="AJ139" i="9"/>
  <c r="AJ140" i="9"/>
  <c r="AJ141" i="9"/>
  <c r="AJ142" i="9"/>
  <c r="AJ143" i="9"/>
  <c r="AJ144" i="9"/>
  <c r="AJ145" i="9"/>
  <c r="AJ146" i="9"/>
  <c r="AJ147" i="9"/>
  <c r="AJ148" i="9"/>
  <c r="AJ149" i="9"/>
  <c r="AJ150" i="9"/>
  <c r="AJ151" i="9"/>
  <c r="AJ152" i="9"/>
  <c r="AJ153" i="9"/>
  <c r="AJ154" i="9"/>
  <c r="AK138" i="9" a="1"/>
  <c r="AK138" i="9" s="1"/>
  <c r="AK139" i="9" a="1"/>
  <c r="AK139" i="9" s="1"/>
  <c r="AK140" i="9" a="1"/>
  <c r="AK140" i="9" s="1"/>
  <c r="AK141" i="9" a="1"/>
  <c r="AK141" i="9" s="1"/>
  <c r="AK142" i="9" a="1"/>
  <c r="AK142" i="9" s="1"/>
  <c r="AK143" i="9" a="1"/>
  <c r="AK143" i="9" s="1"/>
  <c r="AK144" i="9" a="1"/>
  <c r="AK144" i="9" s="1"/>
  <c r="AK145" i="9" a="1"/>
  <c r="AK145" i="9" s="1"/>
  <c r="AK146" i="9" a="1"/>
  <c r="AK146" i="9" s="1"/>
  <c r="AK147" i="9" a="1"/>
  <c r="AK147" i="9" s="1"/>
  <c r="AK148" i="9" a="1"/>
  <c r="AK148" i="9" s="1"/>
  <c r="AK149" i="9" a="1"/>
  <c r="AK149" i="9" s="1"/>
  <c r="AK150" i="9" a="1"/>
  <c r="AK150" i="9" s="1"/>
  <c r="AK151" i="9" a="1"/>
  <c r="AK151" i="9" s="1"/>
  <c r="AK152" i="9" a="1"/>
  <c r="AK152" i="9" s="1"/>
  <c r="AK153" i="9" a="1"/>
  <c r="AK153" i="9" s="1"/>
  <c r="AK154" i="9" a="1"/>
  <c r="AK154" i="9" s="1"/>
  <c r="AM138" i="9"/>
  <c r="AM139" i="9"/>
  <c r="AM140" i="9"/>
  <c r="AM141" i="9"/>
  <c r="AM142" i="9"/>
  <c r="AM143" i="9"/>
  <c r="AM144" i="9"/>
  <c r="AM145" i="9"/>
  <c r="AM146" i="9"/>
  <c r="AM147" i="9"/>
  <c r="AM148" i="9"/>
  <c r="AM149" i="9"/>
  <c r="AM150" i="9"/>
  <c r="AM151" i="9"/>
  <c r="AM152" i="9"/>
  <c r="AM153" i="9"/>
  <c r="AM154" i="9"/>
  <c r="AC171" i="9" a="1"/>
  <c r="AC171" i="9" s="1"/>
  <c r="B156" i="9"/>
  <c r="B136" i="9"/>
  <c r="J123" i="9" a="1"/>
  <c r="J123" i="9" s="1"/>
  <c r="L123" i="9"/>
  <c r="M123" i="9" a="1"/>
  <c r="M123" i="9" s="1"/>
  <c r="O123" i="9"/>
  <c r="P123" i="9" a="1"/>
  <c r="P123" i="9" s="1"/>
  <c r="R123" i="9"/>
  <c r="S123" i="9" a="1"/>
  <c r="S123" i="9" s="1"/>
  <c r="U123" i="9"/>
  <c r="V123" i="9" a="1"/>
  <c r="V123" i="9" s="1"/>
  <c r="X123" i="9"/>
  <c r="Y123" i="9" a="1"/>
  <c r="Y123" i="9" s="1"/>
  <c r="AA123" i="9"/>
  <c r="AB123" i="9" a="1"/>
  <c r="AB123" i="9" s="1"/>
  <c r="AD123" i="9"/>
  <c r="AE123" i="9" a="1"/>
  <c r="AE123" i="9" s="1"/>
  <c r="AG123" i="9"/>
  <c r="AH123" i="9" a="1"/>
  <c r="AH123" i="9" s="1"/>
  <c r="AJ123" i="9"/>
  <c r="AK123" i="9" a="1"/>
  <c r="AK123" i="9" s="1"/>
  <c r="AM123" i="9"/>
  <c r="J124" i="9" a="1"/>
  <c r="J124" i="9" s="1"/>
  <c r="L124" i="9"/>
  <c r="M124" i="9" a="1"/>
  <c r="M124" i="9" s="1"/>
  <c r="O124" i="9"/>
  <c r="P124" i="9" a="1"/>
  <c r="P124" i="9" s="1"/>
  <c r="R124" i="9"/>
  <c r="S124" i="9" a="1"/>
  <c r="S124" i="9" s="1"/>
  <c r="U124" i="9"/>
  <c r="V124" i="9" a="1"/>
  <c r="V124" i="9" s="1"/>
  <c r="X124" i="9"/>
  <c r="Y124" i="9" a="1"/>
  <c r="Y124" i="9" s="1"/>
  <c r="AA124" i="9"/>
  <c r="AB124" i="9" a="1"/>
  <c r="AB124" i="9" s="1"/>
  <c r="AD124" i="9"/>
  <c r="AE124" i="9" a="1"/>
  <c r="AE124" i="9" s="1"/>
  <c r="AG124" i="9"/>
  <c r="AH124" i="9" a="1"/>
  <c r="AH124" i="9" s="1"/>
  <c r="AJ124" i="9"/>
  <c r="AK124" i="9" a="1"/>
  <c r="AK124" i="9" s="1"/>
  <c r="AM124" i="9"/>
  <c r="J125" i="9" a="1"/>
  <c r="J125" i="9" s="1"/>
  <c r="L125" i="9"/>
  <c r="M125" i="9" a="1"/>
  <c r="M125" i="9" s="1"/>
  <c r="O125" i="9"/>
  <c r="P125" i="9" a="1"/>
  <c r="P125" i="9" s="1"/>
  <c r="R125" i="9"/>
  <c r="S125" i="9" a="1"/>
  <c r="S125" i="9" s="1"/>
  <c r="U125" i="9"/>
  <c r="V125" i="9" a="1"/>
  <c r="V125" i="9" s="1"/>
  <c r="X125" i="9"/>
  <c r="Y125" i="9" a="1"/>
  <c r="Y125" i="9" s="1"/>
  <c r="AA125" i="9"/>
  <c r="AB125" i="9" a="1"/>
  <c r="AB125" i="9" s="1"/>
  <c r="AD125" i="9"/>
  <c r="AE125" i="9" a="1"/>
  <c r="AE125" i="9" s="1"/>
  <c r="AG125" i="9"/>
  <c r="AH125" i="9" a="1"/>
  <c r="AH125" i="9" s="1"/>
  <c r="AJ125" i="9"/>
  <c r="AK125" i="9" a="1"/>
  <c r="AK125" i="9" s="1"/>
  <c r="AM125" i="9"/>
  <c r="J126" i="9" a="1"/>
  <c r="J126" i="9" s="1"/>
  <c r="L126" i="9"/>
  <c r="M126" i="9" a="1"/>
  <c r="M126" i="9" s="1"/>
  <c r="O126" i="9"/>
  <c r="P126" i="9" a="1"/>
  <c r="P126" i="9" s="1"/>
  <c r="R126" i="9"/>
  <c r="S126" i="9" a="1"/>
  <c r="S126" i="9" s="1"/>
  <c r="U126" i="9"/>
  <c r="V126" i="9" a="1"/>
  <c r="V126" i="9" s="1"/>
  <c r="X126" i="9"/>
  <c r="Y126" i="9" a="1"/>
  <c r="Y126" i="9" s="1"/>
  <c r="AA126" i="9"/>
  <c r="AB126" i="9" a="1"/>
  <c r="AB126" i="9" s="1"/>
  <c r="AD126" i="9"/>
  <c r="AE126" i="9" a="1"/>
  <c r="AE126" i="9" s="1"/>
  <c r="AG126" i="9"/>
  <c r="AH126" i="9" a="1"/>
  <c r="AH126" i="9" s="1"/>
  <c r="AJ126" i="9"/>
  <c r="AK126" i="9" a="1"/>
  <c r="AK126" i="9" s="1"/>
  <c r="AM126" i="9"/>
  <c r="J127" i="9" a="1"/>
  <c r="J127" i="9" s="1"/>
  <c r="L127" i="9"/>
  <c r="M127" i="9" a="1"/>
  <c r="M127" i="9" s="1"/>
  <c r="O127" i="9"/>
  <c r="P127" i="9" a="1"/>
  <c r="P127" i="9" s="1"/>
  <c r="R127" i="9"/>
  <c r="S127" i="9" a="1"/>
  <c r="S127" i="9" s="1"/>
  <c r="U127" i="9"/>
  <c r="V127" i="9" a="1"/>
  <c r="V127" i="9" s="1"/>
  <c r="X127" i="9"/>
  <c r="Y127" i="9" a="1"/>
  <c r="Y127" i="9" s="1"/>
  <c r="AA127" i="9"/>
  <c r="AB127" i="9" a="1"/>
  <c r="AB127" i="9" s="1"/>
  <c r="AD127" i="9"/>
  <c r="AE127" i="9" a="1"/>
  <c r="AE127" i="9" s="1"/>
  <c r="AG127" i="9"/>
  <c r="AH127" i="9" a="1"/>
  <c r="AH127" i="9" s="1"/>
  <c r="AJ127" i="9"/>
  <c r="AK127" i="9" a="1"/>
  <c r="AK127" i="9" s="1"/>
  <c r="AM127" i="9"/>
  <c r="J128" i="9" a="1"/>
  <c r="J128" i="9" s="1"/>
  <c r="L128" i="9"/>
  <c r="M128" i="9" a="1"/>
  <c r="M128" i="9" s="1"/>
  <c r="O128" i="9"/>
  <c r="P128" i="9" a="1"/>
  <c r="P128" i="9" s="1"/>
  <c r="R128" i="9"/>
  <c r="S128" i="9" a="1"/>
  <c r="S128" i="9" s="1"/>
  <c r="U128" i="9"/>
  <c r="V128" i="9" a="1"/>
  <c r="V128" i="9" s="1"/>
  <c r="X128" i="9"/>
  <c r="Y128" i="9" a="1"/>
  <c r="Y128" i="9" s="1"/>
  <c r="AA128" i="9"/>
  <c r="AB128" i="9" a="1"/>
  <c r="AB128" i="9" s="1"/>
  <c r="AD128" i="9"/>
  <c r="AE128" i="9" a="1"/>
  <c r="AE128" i="9" s="1"/>
  <c r="AG128" i="9"/>
  <c r="AH128" i="9" a="1"/>
  <c r="AH128" i="9" s="1"/>
  <c r="AJ128" i="9"/>
  <c r="AK128" i="9" a="1"/>
  <c r="AK128" i="9" s="1"/>
  <c r="AM128" i="9"/>
  <c r="J129" i="9" a="1"/>
  <c r="J129" i="9" s="1"/>
  <c r="L129" i="9"/>
  <c r="M129" i="9" a="1"/>
  <c r="M129" i="9" s="1"/>
  <c r="O129" i="9"/>
  <c r="P129" i="9" a="1"/>
  <c r="P129" i="9" s="1"/>
  <c r="R129" i="9"/>
  <c r="S129" i="9" a="1"/>
  <c r="S129" i="9" s="1"/>
  <c r="U129" i="9"/>
  <c r="V129" i="9" a="1"/>
  <c r="V129" i="9" s="1"/>
  <c r="X129" i="9"/>
  <c r="Y129" i="9" a="1"/>
  <c r="Y129" i="9" s="1"/>
  <c r="AA129" i="9"/>
  <c r="AB129" i="9" a="1"/>
  <c r="AB129" i="9" s="1"/>
  <c r="AD129" i="9"/>
  <c r="AE129" i="9" a="1"/>
  <c r="AE129" i="9" s="1"/>
  <c r="AG129" i="9"/>
  <c r="AH129" i="9" a="1"/>
  <c r="AH129" i="9" s="1"/>
  <c r="AJ129" i="9"/>
  <c r="AK129" i="9" a="1"/>
  <c r="AK129" i="9" s="1"/>
  <c r="AM129" i="9"/>
  <c r="J130" i="9" a="1"/>
  <c r="J130" i="9" s="1"/>
  <c r="L130" i="9"/>
  <c r="M130" i="9" a="1"/>
  <c r="M130" i="9" s="1"/>
  <c r="O130" i="9"/>
  <c r="P130" i="9" a="1"/>
  <c r="P130" i="9" s="1"/>
  <c r="R130" i="9"/>
  <c r="S130" i="9" a="1"/>
  <c r="S130" i="9" s="1"/>
  <c r="U130" i="9"/>
  <c r="V130" i="9" a="1"/>
  <c r="V130" i="9" s="1"/>
  <c r="X130" i="9"/>
  <c r="Y130" i="9" a="1"/>
  <c r="Y130" i="9" s="1"/>
  <c r="AA130" i="9"/>
  <c r="AB130" i="9" a="1"/>
  <c r="AB130" i="9" s="1"/>
  <c r="AD130" i="9"/>
  <c r="AE130" i="9" a="1"/>
  <c r="AE130" i="9" s="1"/>
  <c r="AG130" i="9"/>
  <c r="AH130" i="9" a="1"/>
  <c r="AH130" i="9" s="1"/>
  <c r="AJ130" i="9"/>
  <c r="AK130" i="9" a="1"/>
  <c r="AK130" i="9" s="1"/>
  <c r="AM130" i="9"/>
  <c r="J131" i="9" a="1"/>
  <c r="J131" i="9" s="1"/>
  <c r="L131" i="9"/>
  <c r="M131" i="9" a="1"/>
  <c r="M131" i="9" s="1"/>
  <c r="O131" i="9"/>
  <c r="P131" i="9" a="1"/>
  <c r="P131" i="9" s="1"/>
  <c r="R131" i="9"/>
  <c r="S131" i="9" a="1"/>
  <c r="S131" i="9" s="1"/>
  <c r="U131" i="9"/>
  <c r="V131" i="9" a="1"/>
  <c r="V131" i="9" s="1"/>
  <c r="X131" i="9"/>
  <c r="Y131" i="9" a="1"/>
  <c r="Y131" i="9" s="1"/>
  <c r="AA131" i="9"/>
  <c r="AB131" i="9" a="1"/>
  <c r="AB131" i="9" s="1"/>
  <c r="AD131" i="9"/>
  <c r="AE131" i="9" a="1"/>
  <c r="AE131" i="9" s="1"/>
  <c r="AG131" i="9"/>
  <c r="AH131" i="9" a="1"/>
  <c r="AH131" i="9" s="1"/>
  <c r="AJ131" i="9"/>
  <c r="AK131" i="9" a="1"/>
  <c r="AK131" i="9" s="1"/>
  <c r="AM131" i="9"/>
  <c r="J132" i="9" a="1"/>
  <c r="J132" i="9" s="1"/>
  <c r="L132" i="9"/>
  <c r="M132" i="9" a="1"/>
  <c r="M132" i="9" s="1"/>
  <c r="O132" i="9"/>
  <c r="P132" i="9" a="1"/>
  <c r="P132" i="9" s="1"/>
  <c r="R132" i="9"/>
  <c r="S132" i="9" a="1"/>
  <c r="S132" i="9" s="1"/>
  <c r="U132" i="9"/>
  <c r="V132" i="9" a="1"/>
  <c r="V132" i="9" s="1"/>
  <c r="X132" i="9"/>
  <c r="Y132" i="9" a="1"/>
  <c r="Y132" i="9" s="1"/>
  <c r="AA132" i="9"/>
  <c r="AB132" i="9" a="1"/>
  <c r="AB132" i="9" s="1"/>
  <c r="AD132" i="9"/>
  <c r="AE132" i="9" a="1"/>
  <c r="AE132" i="9" s="1"/>
  <c r="AG132" i="9"/>
  <c r="AH132" i="9" a="1"/>
  <c r="AH132" i="9" s="1"/>
  <c r="AJ132" i="9"/>
  <c r="AK132" i="9" a="1"/>
  <c r="AK132" i="9" s="1"/>
  <c r="AM132" i="9"/>
  <c r="J133" i="9" a="1"/>
  <c r="J133" i="9" s="1"/>
  <c r="L133" i="9"/>
  <c r="M133" i="9" a="1"/>
  <c r="M133" i="9" s="1"/>
  <c r="O133" i="9"/>
  <c r="P133" i="9" a="1"/>
  <c r="P133" i="9" s="1"/>
  <c r="R133" i="9"/>
  <c r="S133" i="9" a="1"/>
  <c r="S133" i="9" s="1"/>
  <c r="U133" i="9"/>
  <c r="V133" i="9" a="1"/>
  <c r="V133" i="9" s="1"/>
  <c r="X133" i="9"/>
  <c r="Y133" i="9" a="1"/>
  <c r="Y133" i="9" s="1"/>
  <c r="AA133" i="9"/>
  <c r="AB133" i="9" a="1"/>
  <c r="AB133" i="9" s="1"/>
  <c r="AD133" i="9"/>
  <c r="AE133" i="9" a="1"/>
  <c r="AE133" i="9" s="1"/>
  <c r="AG133" i="9"/>
  <c r="AH133" i="9" a="1"/>
  <c r="AH133" i="9" s="1"/>
  <c r="AJ133" i="9"/>
  <c r="AK133" i="9" a="1"/>
  <c r="AK133" i="9" s="1"/>
  <c r="AM133" i="9"/>
  <c r="J134" i="9" a="1"/>
  <c r="J134" i="9" s="1"/>
  <c r="L134" i="9"/>
  <c r="M134" i="9" a="1"/>
  <c r="M134" i="9" s="1"/>
  <c r="O134" i="9"/>
  <c r="P134" i="9" a="1"/>
  <c r="P134" i="9" s="1"/>
  <c r="R134" i="9"/>
  <c r="S134" i="9" a="1"/>
  <c r="S134" i="9" s="1"/>
  <c r="U134" i="9"/>
  <c r="V134" i="9" a="1"/>
  <c r="V134" i="9" s="1"/>
  <c r="X134" i="9"/>
  <c r="Y134" i="9" a="1"/>
  <c r="Y134" i="9" s="1"/>
  <c r="AA134" i="9"/>
  <c r="AB134" i="9" a="1"/>
  <c r="AB134" i="9" s="1"/>
  <c r="AD134" i="9"/>
  <c r="AE134" i="9" a="1"/>
  <c r="AE134" i="9" s="1"/>
  <c r="AG134" i="9"/>
  <c r="AH134" i="9" a="1"/>
  <c r="AH134" i="9" s="1"/>
  <c r="AJ134" i="9"/>
  <c r="AK134" i="9" a="1"/>
  <c r="AK134" i="9" s="1"/>
  <c r="AM134" i="9"/>
  <c r="AK122" i="9" a="1"/>
  <c r="AK122" i="9" s="1"/>
  <c r="AH122" i="9" a="1"/>
  <c r="AH122" i="9" s="1"/>
  <c r="AE122" i="9" a="1"/>
  <c r="AE122" i="9" s="1"/>
  <c r="AB122" i="9" a="1"/>
  <c r="AB122" i="9" s="1"/>
  <c r="Y122" i="9" a="1"/>
  <c r="Y122" i="9" s="1"/>
  <c r="V122" i="9" a="1"/>
  <c r="V122" i="9" s="1"/>
  <c r="J106" i="9" a="1"/>
  <c r="J106" i="9" s="1"/>
  <c r="L106" i="9"/>
  <c r="M106" i="9" a="1"/>
  <c r="M106" i="9" s="1"/>
  <c r="O106" i="9"/>
  <c r="P106" i="9" a="1"/>
  <c r="P106" i="9" s="1"/>
  <c r="R106" i="9"/>
  <c r="S106" i="9" a="1"/>
  <c r="S106" i="9" s="1"/>
  <c r="U106" i="9"/>
  <c r="V106" i="9" a="1"/>
  <c r="V106" i="9" s="1"/>
  <c r="X106" i="9"/>
  <c r="Y106" i="9" a="1"/>
  <c r="Y106" i="9" s="1"/>
  <c r="AA106" i="9"/>
  <c r="AB106" i="9" a="1"/>
  <c r="AB106" i="9" s="1"/>
  <c r="AD106" i="9"/>
  <c r="AE106" i="9" a="1"/>
  <c r="AE106" i="9" s="1"/>
  <c r="AG106" i="9"/>
  <c r="AH106" i="9" a="1"/>
  <c r="AH106" i="9" s="1"/>
  <c r="AJ106" i="9"/>
  <c r="AK106" i="9" a="1"/>
  <c r="AK106" i="9" s="1"/>
  <c r="AM106" i="9"/>
  <c r="J107" i="9" a="1"/>
  <c r="J107" i="9" s="1"/>
  <c r="L107" i="9"/>
  <c r="M107" i="9" a="1"/>
  <c r="M107" i="9" s="1"/>
  <c r="O107" i="9"/>
  <c r="P107" i="9" a="1"/>
  <c r="P107" i="9" s="1"/>
  <c r="R107" i="9"/>
  <c r="S107" i="9" a="1"/>
  <c r="S107" i="9" s="1"/>
  <c r="U107" i="9"/>
  <c r="V107" i="9" a="1"/>
  <c r="V107" i="9" s="1"/>
  <c r="X107" i="9"/>
  <c r="Y107" i="9" a="1"/>
  <c r="Y107" i="9" s="1"/>
  <c r="AA107" i="9"/>
  <c r="AB107" i="9" a="1"/>
  <c r="AB107" i="9" s="1"/>
  <c r="AD107" i="9"/>
  <c r="AE107" i="9" a="1"/>
  <c r="AE107" i="9" s="1"/>
  <c r="AG107" i="9"/>
  <c r="AH107" i="9" a="1"/>
  <c r="AH107" i="9" s="1"/>
  <c r="AJ107" i="9"/>
  <c r="AK107" i="9" a="1"/>
  <c r="AK107" i="9" s="1"/>
  <c r="AM107" i="9"/>
  <c r="J108" i="9" a="1"/>
  <c r="J108" i="9" s="1"/>
  <c r="L108" i="9"/>
  <c r="M108" i="9" a="1"/>
  <c r="M108" i="9" s="1"/>
  <c r="O108" i="9"/>
  <c r="P108" i="9" a="1"/>
  <c r="P108" i="9" s="1"/>
  <c r="R108" i="9"/>
  <c r="S108" i="9" a="1"/>
  <c r="S108" i="9" s="1"/>
  <c r="U108" i="9"/>
  <c r="V108" i="9" a="1"/>
  <c r="V108" i="9" s="1"/>
  <c r="X108" i="9"/>
  <c r="Y108" i="9" a="1"/>
  <c r="Y108" i="9" s="1"/>
  <c r="AA108" i="9"/>
  <c r="AB108" i="9" a="1"/>
  <c r="AB108" i="9" s="1"/>
  <c r="AD108" i="9"/>
  <c r="AE108" i="9" a="1"/>
  <c r="AE108" i="9" s="1"/>
  <c r="AG108" i="9"/>
  <c r="AH108" i="9" a="1"/>
  <c r="AH108" i="9" s="1"/>
  <c r="AJ108" i="9"/>
  <c r="AK108" i="9" a="1"/>
  <c r="AK108" i="9" s="1"/>
  <c r="AM108" i="9"/>
  <c r="J109" i="9" a="1"/>
  <c r="J109" i="9" s="1"/>
  <c r="L109" i="9"/>
  <c r="M109" i="9" a="1"/>
  <c r="M109" i="9" s="1"/>
  <c r="O109" i="9"/>
  <c r="P109" i="9" a="1"/>
  <c r="P109" i="9" s="1"/>
  <c r="R109" i="9"/>
  <c r="S109" i="9" a="1"/>
  <c r="S109" i="9" s="1"/>
  <c r="U109" i="9"/>
  <c r="V109" i="9" a="1"/>
  <c r="V109" i="9" s="1"/>
  <c r="X109" i="9"/>
  <c r="Y109" i="9" a="1"/>
  <c r="Y109" i="9" s="1"/>
  <c r="AA109" i="9"/>
  <c r="AB109" i="9" a="1"/>
  <c r="AB109" i="9" s="1"/>
  <c r="AD109" i="9"/>
  <c r="AE109" i="9" a="1"/>
  <c r="AE109" i="9" s="1"/>
  <c r="AG109" i="9"/>
  <c r="AH109" i="9" a="1"/>
  <c r="AH109" i="9" s="1"/>
  <c r="AJ109" i="9"/>
  <c r="AK109" i="9" a="1"/>
  <c r="AK109" i="9" s="1"/>
  <c r="AM109" i="9"/>
  <c r="J110" i="9" a="1"/>
  <c r="J110" i="9" s="1"/>
  <c r="L110" i="9"/>
  <c r="M110" i="9" a="1"/>
  <c r="M110" i="9" s="1"/>
  <c r="O110" i="9"/>
  <c r="P110" i="9" a="1"/>
  <c r="P110" i="9" s="1"/>
  <c r="R110" i="9"/>
  <c r="S110" i="9" a="1"/>
  <c r="S110" i="9" s="1"/>
  <c r="U110" i="9"/>
  <c r="V110" i="9" a="1"/>
  <c r="V110" i="9" s="1"/>
  <c r="X110" i="9"/>
  <c r="Y110" i="9" a="1"/>
  <c r="Y110" i="9" s="1"/>
  <c r="AA110" i="9"/>
  <c r="AB110" i="9" a="1"/>
  <c r="AB110" i="9" s="1"/>
  <c r="AD110" i="9"/>
  <c r="AE110" i="9" a="1"/>
  <c r="AE110" i="9" s="1"/>
  <c r="AG110" i="9"/>
  <c r="AH110" i="9" a="1"/>
  <c r="AH110" i="9" s="1"/>
  <c r="AJ110" i="9"/>
  <c r="AK110" i="9" a="1"/>
  <c r="AK110" i="9" s="1"/>
  <c r="AM110" i="9"/>
  <c r="J111" i="9" a="1"/>
  <c r="J111" i="9" s="1"/>
  <c r="L111" i="9"/>
  <c r="M111" i="9" a="1"/>
  <c r="M111" i="9" s="1"/>
  <c r="O111" i="9"/>
  <c r="P111" i="9" a="1"/>
  <c r="P111" i="9" s="1"/>
  <c r="R111" i="9"/>
  <c r="S111" i="9" a="1"/>
  <c r="S111" i="9" s="1"/>
  <c r="U111" i="9"/>
  <c r="V111" i="9" a="1"/>
  <c r="V111" i="9" s="1"/>
  <c r="X111" i="9"/>
  <c r="Y111" i="9" a="1"/>
  <c r="Y111" i="9" s="1"/>
  <c r="AA111" i="9"/>
  <c r="AB111" i="9" a="1"/>
  <c r="AB111" i="9" s="1"/>
  <c r="AD111" i="9"/>
  <c r="AE111" i="9" a="1"/>
  <c r="AE111" i="9" s="1"/>
  <c r="AG111" i="9"/>
  <c r="AH111" i="9" a="1"/>
  <c r="AH111" i="9" s="1"/>
  <c r="AJ111" i="9"/>
  <c r="AK111" i="9" a="1"/>
  <c r="AK111" i="9" s="1"/>
  <c r="AM111" i="9"/>
  <c r="J112" i="9" a="1"/>
  <c r="J112" i="9" s="1"/>
  <c r="L112" i="9"/>
  <c r="M112" i="9" a="1"/>
  <c r="M112" i="9" s="1"/>
  <c r="O112" i="9"/>
  <c r="P112" i="9" a="1"/>
  <c r="P112" i="9" s="1"/>
  <c r="R112" i="9"/>
  <c r="S112" i="9" a="1"/>
  <c r="S112" i="9" s="1"/>
  <c r="U112" i="9"/>
  <c r="V112" i="9" a="1"/>
  <c r="V112" i="9" s="1"/>
  <c r="X112" i="9"/>
  <c r="Y112" i="9" a="1"/>
  <c r="Y112" i="9" s="1"/>
  <c r="AA112" i="9"/>
  <c r="AB112" i="9" a="1"/>
  <c r="AB112" i="9" s="1"/>
  <c r="AD112" i="9"/>
  <c r="AE112" i="9" a="1"/>
  <c r="AE112" i="9" s="1"/>
  <c r="AG112" i="9"/>
  <c r="AH112" i="9" a="1"/>
  <c r="AH112" i="9" s="1"/>
  <c r="AJ112" i="9"/>
  <c r="AK112" i="9" a="1"/>
  <c r="AK112" i="9" s="1"/>
  <c r="AM112" i="9"/>
  <c r="J113" i="9" a="1"/>
  <c r="J113" i="9" s="1"/>
  <c r="L113" i="9"/>
  <c r="M113" i="9" a="1"/>
  <c r="M113" i="9" s="1"/>
  <c r="O113" i="9"/>
  <c r="P113" i="9" a="1"/>
  <c r="P113" i="9" s="1"/>
  <c r="R113" i="9"/>
  <c r="S113" i="9" a="1"/>
  <c r="S113" i="9" s="1"/>
  <c r="U113" i="9"/>
  <c r="V113" i="9" a="1"/>
  <c r="V113" i="9" s="1"/>
  <c r="X113" i="9"/>
  <c r="Y113" i="9" a="1"/>
  <c r="Y113" i="9" s="1"/>
  <c r="AA113" i="9"/>
  <c r="AB113" i="9" a="1"/>
  <c r="AB113" i="9" s="1"/>
  <c r="AD113" i="9"/>
  <c r="AE113" i="9" a="1"/>
  <c r="AE113" i="9" s="1"/>
  <c r="AG113" i="9"/>
  <c r="AH113" i="9" a="1"/>
  <c r="AH113" i="9" s="1"/>
  <c r="AJ113" i="9"/>
  <c r="AK113" i="9" a="1"/>
  <c r="AK113" i="9" s="1"/>
  <c r="AM113" i="9"/>
  <c r="J114" i="9" a="1"/>
  <c r="J114" i="9" s="1"/>
  <c r="L114" i="9"/>
  <c r="M114" i="9" a="1"/>
  <c r="M114" i="9" s="1"/>
  <c r="O114" i="9"/>
  <c r="P114" i="9" a="1"/>
  <c r="P114" i="9" s="1"/>
  <c r="R114" i="9"/>
  <c r="S114" i="9" a="1"/>
  <c r="S114" i="9" s="1"/>
  <c r="U114" i="9"/>
  <c r="V114" i="9" a="1"/>
  <c r="V114" i="9" s="1"/>
  <c r="X114" i="9"/>
  <c r="Y114" i="9" a="1"/>
  <c r="Y114" i="9" s="1"/>
  <c r="AA114" i="9"/>
  <c r="AB114" i="9" a="1"/>
  <c r="AB114" i="9" s="1"/>
  <c r="AD114" i="9"/>
  <c r="AE114" i="9" a="1"/>
  <c r="AE114" i="9" s="1"/>
  <c r="AG114" i="9"/>
  <c r="AH114" i="9" a="1"/>
  <c r="AH114" i="9" s="1"/>
  <c r="AJ114" i="9"/>
  <c r="AK114" i="9" a="1"/>
  <c r="AK114" i="9" s="1"/>
  <c r="AM114" i="9"/>
  <c r="J115" i="9" a="1"/>
  <c r="J115" i="9" s="1"/>
  <c r="L115" i="9"/>
  <c r="M115" i="9" a="1"/>
  <c r="M115" i="9" s="1"/>
  <c r="O115" i="9"/>
  <c r="P115" i="9" a="1"/>
  <c r="P115" i="9" s="1"/>
  <c r="R115" i="9"/>
  <c r="S115" i="9" a="1"/>
  <c r="S115" i="9" s="1"/>
  <c r="U115" i="9"/>
  <c r="V115" i="9" a="1"/>
  <c r="V115" i="9" s="1"/>
  <c r="X115" i="9"/>
  <c r="Y115" i="9" a="1"/>
  <c r="Y115" i="9" s="1"/>
  <c r="AA115" i="9"/>
  <c r="AB115" i="9" a="1"/>
  <c r="AB115" i="9" s="1"/>
  <c r="AD115" i="9"/>
  <c r="AE115" i="9" a="1"/>
  <c r="AE115" i="9" s="1"/>
  <c r="AG115" i="9"/>
  <c r="AH115" i="9" a="1"/>
  <c r="AH115" i="9" s="1"/>
  <c r="AJ115" i="9"/>
  <c r="AK115" i="9" a="1"/>
  <c r="AK115" i="9" s="1"/>
  <c r="AM115" i="9"/>
  <c r="J116" i="9" a="1"/>
  <c r="J116" i="9" s="1"/>
  <c r="L116" i="9"/>
  <c r="M116" i="9" a="1"/>
  <c r="M116" i="9" s="1"/>
  <c r="O116" i="9"/>
  <c r="P116" i="9" a="1"/>
  <c r="P116" i="9" s="1"/>
  <c r="R116" i="9"/>
  <c r="S116" i="9" a="1"/>
  <c r="S116" i="9" s="1"/>
  <c r="U116" i="9"/>
  <c r="V116" i="9" a="1"/>
  <c r="V116" i="9" s="1"/>
  <c r="X116" i="9"/>
  <c r="Y116" i="9" a="1"/>
  <c r="Y116" i="9" s="1"/>
  <c r="AA116" i="9"/>
  <c r="AB116" i="9" a="1"/>
  <c r="AB116" i="9" s="1"/>
  <c r="AD116" i="9"/>
  <c r="AE116" i="9" a="1"/>
  <c r="AE116" i="9" s="1"/>
  <c r="AG116" i="9"/>
  <c r="AH116" i="9" a="1"/>
  <c r="AH116" i="9" s="1"/>
  <c r="AJ116" i="9"/>
  <c r="AK116" i="9" a="1"/>
  <c r="AK116" i="9" s="1"/>
  <c r="AM116" i="9"/>
  <c r="J117" i="9" a="1"/>
  <c r="J117" i="9" s="1"/>
  <c r="L117" i="9"/>
  <c r="M117" i="9" a="1"/>
  <c r="M117" i="9" s="1"/>
  <c r="O117" i="9"/>
  <c r="P117" i="9" a="1"/>
  <c r="P117" i="9" s="1"/>
  <c r="R117" i="9"/>
  <c r="S117" i="9" a="1"/>
  <c r="S117" i="9" s="1"/>
  <c r="U117" i="9"/>
  <c r="V117" i="9" a="1"/>
  <c r="V117" i="9" s="1"/>
  <c r="X117" i="9"/>
  <c r="Y117" i="9" a="1"/>
  <c r="Y117" i="9" s="1"/>
  <c r="AA117" i="9"/>
  <c r="AB117" i="9" a="1"/>
  <c r="AB117" i="9" s="1"/>
  <c r="AD117" i="9"/>
  <c r="AE117" i="9" a="1"/>
  <c r="AE117" i="9" s="1"/>
  <c r="AG117" i="9"/>
  <c r="AH117" i="9" a="1"/>
  <c r="AH117" i="9" s="1"/>
  <c r="AJ117" i="9"/>
  <c r="AK117" i="9" a="1"/>
  <c r="AK117" i="9" s="1"/>
  <c r="AM117" i="9"/>
  <c r="J118" i="9" a="1"/>
  <c r="J118" i="9" s="1"/>
  <c r="L118" i="9"/>
  <c r="M118" i="9" a="1"/>
  <c r="M118" i="9" s="1"/>
  <c r="O118" i="9"/>
  <c r="P118" i="9" a="1"/>
  <c r="P118" i="9" s="1"/>
  <c r="R118" i="9"/>
  <c r="S118" i="9" a="1"/>
  <c r="S118" i="9" s="1"/>
  <c r="U118" i="9"/>
  <c r="V118" i="9" a="1"/>
  <c r="V118" i="9" s="1"/>
  <c r="X118" i="9"/>
  <c r="Y118" i="9" a="1"/>
  <c r="Y118" i="9" s="1"/>
  <c r="AA118" i="9"/>
  <c r="AB118" i="9" a="1"/>
  <c r="AB118" i="9" s="1"/>
  <c r="AD118" i="9"/>
  <c r="AE118" i="9" a="1"/>
  <c r="AE118" i="9" s="1"/>
  <c r="AG118" i="9"/>
  <c r="AH118" i="9" a="1"/>
  <c r="AH118" i="9" s="1"/>
  <c r="AJ118" i="9"/>
  <c r="AK118" i="9" a="1"/>
  <c r="AK118" i="9" s="1"/>
  <c r="AM118" i="9"/>
  <c r="AK105" i="9" a="1"/>
  <c r="AK105" i="9" s="1"/>
  <c r="AH105" i="9" a="1"/>
  <c r="AH105" i="9" s="1"/>
  <c r="AE105" i="9" a="1"/>
  <c r="AE105" i="9" s="1"/>
  <c r="AB105" i="9" a="1"/>
  <c r="AB105" i="9" s="1"/>
  <c r="Y105" i="9" a="1"/>
  <c r="Y105" i="9" s="1"/>
  <c r="V105" i="9" a="1"/>
  <c r="V105" i="9" s="1"/>
  <c r="J90" i="9" a="1"/>
  <c r="J90" i="9" s="1"/>
  <c r="L90" i="9"/>
  <c r="M90" i="9" a="1"/>
  <c r="M90" i="9" s="1"/>
  <c r="O90" i="9"/>
  <c r="P90" i="9" a="1"/>
  <c r="P90" i="9" s="1"/>
  <c r="R90" i="9"/>
  <c r="S90" i="9" a="1"/>
  <c r="S90" i="9" s="1"/>
  <c r="U90" i="9"/>
  <c r="V90" i="9" a="1"/>
  <c r="V90" i="9" s="1"/>
  <c r="X90" i="9"/>
  <c r="Y90" i="9" a="1"/>
  <c r="Y90" i="9" s="1"/>
  <c r="AA90" i="9"/>
  <c r="AB90" i="9" a="1"/>
  <c r="AB90" i="9" s="1"/>
  <c r="AD90" i="9"/>
  <c r="AE90" i="9" a="1"/>
  <c r="AE90" i="9" s="1"/>
  <c r="AG90" i="9"/>
  <c r="AH90" i="9" a="1"/>
  <c r="AH90" i="9" s="1"/>
  <c r="AJ90" i="9"/>
  <c r="AK90" i="9" a="1"/>
  <c r="AK90" i="9" s="1"/>
  <c r="AM90" i="9"/>
  <c r="J91" i="9" a="1"/>
  <c r="J91" i="9" s="1"/>
  <c r="L91" i="9"/>
  <c r="M91" i="9" a="1"/>
  <c r="M91" i="9" s="1"/>
  <c r="O91" i="9"/>
  <c r="P91" i="9" a="1"/>
  <c r="P91" i="9" s="1"/>
  <c r="R91" i="9"/>
  <c r="S91" i="9" a="1"/>
  <c r="S91" i="9" s="1"/>
  <c r="U91" i="9"/>
  <c r="V91" i="9" a="1"/>
  <c r="V91" i="9" s="1"/>
  <c r="X91" i="9"/>
  <c r="Y91" i="9" a="1"/>
  <c r="Y91" i="9" s="1"/>
  <c r="AA91" i="9"/>
  <c r="AB91" i="9" a="1"/>
  <c r="AB91" i="9" s="1"/>
  <c r="AD91" i="9"/>
  <c r="AE91" i="9" a="1"/>
  <c r="AE91" i="9" s="1"/>
  <c r="AG91" i="9"/>
  <c r="AH91" i="9" a="1"/>
  <c r="AH91" i="9" s="1"/>
  <c r="AJ91" i="9"/>
  <c r="AK91" i="9" a="1"/>
  <c r="AK91" i="9" s="1"/>
  <c r="AM91" i="9"/>
  <c r="J92" i="9" a="1"/>
  <c r="J92" i="9" s="1"/>
  <c r="L92" i="9"/>
  <c r="M92" i="9" a="1"/>
  <c r="M92" i="9" s="1"/>
  <c r="O92" i="9"/>
  <c r="P92" i="9" a="1"/>
  <c r="P92" i="9" s="1"/>
  <c r="R92" i="9"/>
  <c r="S92" i="9" a="1"/>
  <c r="S92" i="9" s="1"/>
  <c r="U92" i="9"/>
  <c r="V92" i="9" a="1"/>
  <c r="V92" i="9" s="1"/>
  <c r="X92" i="9"/>
  <c r="Y92" i="9" a="1"/>
  <c r="Y92" i="9" s="1"/>
  <c r="AA92" i="9"/>
  <c r="AB92" i="9" a="1"/>
  <c r="AB92" i="9" s="1"/>
  <c r="AD92" i="9"/>
  <c r="AE92" i="9" a="1"/>
  <c r="AE92" i="9" s="1"/>
  <c r="AG92" i="9"/>
  <c r="AH92" i="9" a="1"/>
  <c r="AH92" i="9" s="1"/>
  <c r="AJ92" i="9"/>
  <c r="AK92" i="9" a="1"/>
  <c r="AK92" i="9" s="1"/>
  <c r="AM92" i="9"/>
  <c r="J93" i="9" a="1"/>
  <c r="J93" i="9" s="1"/>
  <c r="L93" i="9"/>
  <c r="M93" i="9" a="1"/>
  <c r="M93" i="9" s="1"/>
  <c r="O93" i="9"/>
  <c r="P93" i="9" a="1"/>
  <c r="P93" i="9" s="1"/>
  <c r="R93" i="9"/>
  <c r="S93" i="9" a="1"/>
  <c r="S93" i="9" s="1"/>
  <c r="U93" i="9"/>
  <c r="V93" i="9" a="1"/>
  <c r="V93" i="9" s="1"/>
  <c r="X93" i="9"/>
  <c r="Y93" i="9" a="1"/>
  <c r="Y93" i="9" s="1"/>
  <c r="AA93" i="9"/>
  <c r="AB93" i="9" a="1"/>
  <c r="AB93" i="9" s="1"/>
  <c r="AD93" i="9"/>
  <c r="AE93" i="9" a="1"/>
  <c r="AE93" i="9" s="1"/>
  <c r="AG93" i="9"/>
  <c r="AH93" i="9" a="1"/>
  <c r="AH93" i="9" s="1"/>
  <c r="AJ93" i="9"/>
  <c r="AK93" i="9" a="1"/>
  <c r="AK93" i="9" s="1"/>
  <c r="AM93" i="9"/>
  <c r="J94" i="9" a="1"/>
  <c r="J94" i="9" s="1"/>
  <c r="L94" i="9"/>
  <c r="M94" i="9" a="1"/>
  <c r="M94" i="9" s="1"/>
  <c r="O94" i="9"/>
  <c r="P94" i="9" a="1"/>
  <c r="P94" i="9" s="1"/>
  <c r="R94" i="9"/>
  <c r="S94" i="9" a="1"/>
  <c r="S94" i="9" s="1"/>
  <c r="U94" i="9"/>
  <c r="V94" i="9" a="1"/>
  <c r="V94" i="9" s="1"/>
  <c r="X94" i="9"/>
  <c r="Y94" i="9" a="1"/>
  <c r="Y94" i="9" s="1"/>
  <c r="AA94" i="9"/>
  <c r="AB94" i="9" a="1"/>
  <c r="AB94" i="9" s="1"/>
  <c r="AD94" i="9"/>
  <c r="AE94" i="9" a="1"/>
  <c r="AE94" i="9" s="1"/>
  <c r="AG94" i="9"/>
  <c r="AH94" i="9" a="1"/>
  <c r="AH94" i="9" s="1"/>
  <c r="AJ94" i="9"/>
  <c r="AK94" i="9" a="1"/>
  <c r="AK94" i="9" s="1"/>
  <c r="AM94" i="9"/>
  <c r="J95" i="9" a="1"/>
  <c r="J95" i="9" s="1"/>
  <c r="L95" i="9"/>
  <c r="M95" i="9" a="1"/>
  <c r="M95" i="9" s="1"/>
  <c r="O95" i="9"/>
  <c r="P95" i="9" a="1"/>
  <c r="P95" i="9" s="1"/>
  <c r="R95" i="9"/>
  <c r="S95" i="9" a="1"/>
  <c r="S95" i="9" s="1"/>
  <c r="U95" i="9"/>
  <c r="V95" i="9" a="1"/>
  <c r="V95" i="9" s="1"/>
  <c r="X95" i="9"/>
  <c r="Y95" i="9" a="1"/>
  <c r="Y95" i="9" s="1"/>
  <c r="AA95" i="9"/>
  <c r="AB95" i="9" a="1"/>
  <c r="AB95" i="9" s="1"/>
  <c r="AD95" i="9"/>
  <c r="AE95" i="9" a="1"/>
  <c r="AE95" i="9" s="1"/>
  <c r="AG95" i="9"/>
  <c r="AH95" i="9" a="1"/>
  <c r="AH95" i="9" s="1"/>
  <c r="AJ95" i="9"/>
  <c r="AK95" i="9" a="1"/>
  <c r="AK95" i="9" s="1"/>
  <c r="AM95" i="9"/>
  <c r="J96" i="9" a="1"/>
  <c r="J96" i="9" s="1"/>
  <c r="L96" i="9"/>
  <c r="M96" i="9" a="1"/>
  <c r="M96" i="9" s="1"/>
  <c r="O96" i="9"/>
  <c r="P96" i="9" a="1"/>
  <c r="P96" i="9" s="1"/>
  <c r="R96" i="9"/>
  <c r="S96" i="9" a="1"/>
  <c r="S96" i="9" s="1"/>
  <c r="U96" i="9"/>
  <c r="V96" i="9" a="1"/>
  <c r="V96" i="9" s="1"/>
  <c r="X96" i="9"/>
  <c r="Y96" i="9" a="1"/>
  <c r="Y96" i="9" s="1"/>
  <c r="AA96" i="9"/>
  <c r="AB96" i="9" a="1"/>
  <c r="AB96" i="9" s="1"/>
  <c r="AD96" i="9"/>
  <c r="AE96" i="9" a="1"/>
  <c r="AE96" i="9" s="1"/>
  <c r="AG96" i="9"/>
  <c r="AH96" i="9" a="1"/>
  <c r="AH96" i="9" s="1"/>
  <c r="AJ96" i="9"/>
  <c r="AK96" i="9" a="1"/>
  <c r="AK96" i="9" s="1"/>
  <c r="AM96" i="9"/>
  <c r="J97" i="9" a="1"/>
  <c r="J97" i="9" s="1"/>
  <c r="L97" i="9"/>
  <c r="M97" i="9" a="1"/>
  <c r="M97" i="9" s="1"/>
  <c r="O97" i="9"/>
  <c r="P97" i="9" a="1"/>
  <c r="P97" i="9" s="1"/>
  <c r="R97" i="9"/>
  <c r="S97" i="9" a="1"/>
  <c r="S97" i="9" s="1"/>
  <c r="U97" i="9"/>
  <c r="V97" i="9" a="1"/>
  <c r="V97" i="9" s="1"/>
  <c r="X97" i="9"/>
  <c r="Y97" i="9" a="1"/>
  <c r="Y97" i="9" s="1"/>
  <c r="AA97" i="9"/>
  <c r="AB97" i="9" a="1"/>
  <c r="AB97" i="9" s="1"/>
  <c r="AD97" i="9"/>
  <c r="AE97" i="9" a="1"/>
  <c r="AE97" i="9" s="1"/>
  <c r="AG97" i="9"/>
  <c r="AH97" i="9" a="1"/>
  <c r="AH97" i="9" s="1"/>
  <c r="AJ97" i="9"/>
  <c r="AK97" i="9" a="1"/>
  <c r="AK97" i="9" s="1"/>
  <c r="AM97" i="9"/>
  <c r="J98" i="9" a="1"/>
  <c r="J98" i="9" s="1"/>
  <c r="L98" i="9"/>
  <c r="M98" i="9" a="1"/>
  <c r="M98" i="9" s="1"/>
  <c r="O98" i="9"/>
  <c r="P98" i="9" a="1"/>
  <c r="P98" i="9" s="1"/>
  <c r="R98" i="9"/>
  <c r="S98" i="9" a="1"/>
  <c r="S98" i="9" s="1"/>
  <c r="U98" i="9"/>
  <c r="V98" i="9" a="1"/>
  <c r="V98" i="9" s="1"/>
  <c r="X98" i="9"/>
  <c r="Y98" i="9" a="1"/>
  <c r="Y98" i="9" s="1"/>
  <c r="AA98" i="9"/>
  <c r="AB98" i="9" a="1"/>
  <c r="AB98" i="9" s="1"/>
  <c r="AD98" i="9"/>
  <c r="AE98" i="9" a="1"/>
  <c r="AE98" i="9" s="1"/>
  <c r="AG98" i="9"/>
  <c r="AH98" i="9" a="1"/>
  <c r="AH98" i="9" s="1"/>
  <c r="AJ98" i="9"/>
  <c r="AK98" i="9" a="1"/>
  <c r="AK98" i="9" s="1"/>
  <c r="AM98" i="9"/>
  <c r="J99" i="9" a="1"/>
  <c r="J99" i="9" s="1"/>
  <c r="L99" i="9"/>
  <c r="M99" i="9" a="1"/>
  <c r="M99" i="9" s="1"/>
  <c r="O99" i="9"/>
  <c r="P99" i="9" a="1"/>
  <c r="P99" i="9" s="1"/>
  <c r="R99" i="9"/>
  <c r="S99" i="9" a="1"/>
  <c r="S99" i="9" s="1"/>
  <c r="U99" i="9"/>
  <c r="V99" i="9" a="1"/>
  <c r="V99" i="9" s="1"/>
  <c r="X99" i="9"/>
  <c r="Y99" i="9" a="1"/>
  <c r="Y99" i="9" s="1"/>
  <c r="AA99" i="9"/>
  <c r="AB99" i="9" a="1"/>
  <c r="AB99" i="9" s="1"/>
  <c r="AD99" i="9"/>
  <c r="AE99" i="9" a="1"/>
  <c r="AE99" i="9" s="1"/>
  <c r="AG99" i="9"/>
  <c r="AH99" i="9" a="1"/>
  <c r="AH99" i="9" s="1"/>
  <c r="AJ99" i="9"/>
  <c r="AK99" i="9" a="1"/>
  <c r="AK99" i="9" s="1"/>
  <c r="AM99" i="9"/>
  <c r="J100" i="9" a="1"/>
  <c r="J100" i="9" s="1"/>
  <c r="L100" i="9"/>
  <c r="M100" i="9" a="1"/>
  <c r="M100" i="9" s="1"/>
  <c r="O100" i="9"/>
  <c r="P100" i="9" a="1"/>
  <c r="P100" i="9" s="1"/>
  <c r="R100" i="9"/>
  <c r="S100" i="9" a="1"/>
  <c r="S100" i="9" s="1"/>
  <c r="U100" i="9"/>
  <c r="V100" i="9" a="1"/>
  <c r="V100" i="9" s="1"/>
  <c r="X100" i="9"/>
  <c r="Y100" i="9" a="1"/>
  <c r="Y100" i="9" s="1"/>
  <c r="AA100" i="9"/>
  <c r="AB100" i="9" a="1"/>
  <c r="AB100" i="9" s="1"/>
  <c r="AD100" i="9"/>
  <c r="AE100" i="9" a="1"/>
  <c r="AE100" i="9" s="1"/>
  <c r="AG100" i="9"/>
  <c r="AH100" i="9" a="1"/>
  <c r="AH100" i="9" s="1"/>
  <c r="AJ100" i="9"/>
  <c r="AK100" i="9" a="1"/>
  <c r="AK100" i="9" s="1"/>
  <c r="AM100" i="9"/>
  <c r="J101" i="9" a="1"/>
  <c r="J101" i="9" s="1"/>
  <c r="L101" i="9"/>
  <c r="M101" i="9" a="1"/>
  <c r="M101" i="9" s="1"/>
  <c r="O101" i="9"/>
  <c r="P101" i="9" a="1"/>
  <c r="P101" i="9" s="1"/>
  <c r="R101" i="9"/>
  <c r="S101" i="9" a="1"/>
  <c r="S101" i="9" s="1"/>
  <c r="U101" i="9"/>
  <c r="V101" i="9" a="1"/>
  <c r="V101" i="9" s="1"/>
  <c r="X101" i="9"/>
  <c r="Y101" i="9" a="1"/>
  <c r="Y101" i="9" s="1"/>
  <c r="AA101" i="9"/>
  <c r="AB101" i="9" a="1"/>
  <c r="AB101" i="9" s="1"/>
  <c r="AD101" i="9"/>
  <c r="AE101" i="9" a="1"/>
  <c r="AE101" i="9" s="1"/>
  <c r="AG101" i="9"/>
  <c r="AH101" i="9" a="1"/>
  <c r="AH101" i="9" s="1"/>
  <c r="AJ101" i="9"/>
  <c r="AK101" i="9" a="1"/>
  <c r="AK101" i="9" s="1"/>
  <c r="AM101" i="9"/>
  <c r="AK89" i="9" a="1"/>
  <c r="AK89" i="9" s="1"/>
  <c r="AH89" i="9" a="1"/>
  <c r="AH89" i="9" s="1"/>
  <c r="AE89" i="9" a="1"/>
  <c r="AE89" i="9" s="1"/>
  <c r="AB89" i="9" a="1"/>
  <c r="AB89" i="9" s="1"/>
  <c r="Y89" i="9" a="1"/>
  <c r="Y89" i="9" s="1"/>
  <c r="V89" i="9" a="1"/>
  <c r="V89" i="9" s="1"/>
  <c r="J22" i="9"/>
  <c r="L22" i="9"/>
  <c r="M22" i="9"/>
  <c r="O22" i="9"/>
  <c r="P22" i="9"/>
  <c r="R22" i="9"/>
  <c r="S22" i="9"/>
  <c r="U22" i="9"/>
  <c r="V22" i="9"/>
  <c r="X22" i="9"/>
  <c r="Y22" i="9"/>
  <c r="AA22" i="9"/>
  <c r="AB22" i="9"/>
  <c r="AD22" i="9"/>
  <c r="AE22" i="9"/>
  <c r="AG22" i="9"/>
  <c r="AH22" i="9"/>
  <c r="AJ22" i="9"/>
  <c r="AK22" i="9"/>
  <c r="AM22" i="9"/>
  <c r="J23" i="9"/>
  <c r="L23" i="9"/>
  <c r="M23" i="9"/>
  <c r="O23" i="9"/>
  <c r="P23" i="9"/>
  <c r="R23" i="9"/>
  <c r="S23" i="9"/>
  <c r="U23" i="9"/>
  <c r="V23" i="9"/>
  <c r="X23" i="9"/>
  <c r="Y23" i="9"/>
  <c r="AA23" i="9"/>
  <c r="AB23" i="9"/>
  <c r="AD23" i="9"/>
  <c r="AE23" i="9"/>
  <c r="AG23" i="9"/>
  <c r="AH23" i="9"/>
  <c r="AJ23" i="9"/>
  <c r="AK23" i="9"/>
  <c r="AM23" i="9"/>
  <c r="J24" i="9"/>
  <c r="L24" i="9"/>
  <c r="M24" i="9"/>
  <c r="O24" i="9"/>
  <c r="P24" i="9"/>
  <c r="R24" i="9"/>
  <c r="S24" i="9"/>
  <c r="U24" i="9"/>
  <c r="V24" i="9"/>
  <c r="X24" i="9"/>
  <c r="Y24" i="9"/>
  <c r="AA24" i="9"/>
  <c r="AB24" i="9"/>
  <c r="AD24" i="9"/>
  <c r="AE24" i="9"/>
  <c r="AG24" i="9"/>
  <c r="AH24" i="9"/>
  <c r="AJ24" i="9"/>
  <c r="AK24" i="9"/>
  <c r="AM24" i="9"/>
  <c r="J40" i="9"/>
  <c r="L40" i="9"/>
  <c r="M40" i="9"/>
  <c r="O40" i="9"/>
  <c r="P40" i="9"/>
  <c r="R40" i="9"/>
  <c r="S40" i="9"/>
  <c r="U40" i="9"/>
  <c r="V40" i="9"/>
  <c r="X40" i="9"/>
  <c r="Y40" i="9"/>
  <c r="AA40" i="9"/>
  <c r="AB40" i="9"/>
  <c r="AD40" i="9"/>
  <c r="AE40" i="9"/>
  <c r="AG40" i="9"/>
  <c r="AH40" i="9"/>
  <c r="AJ40" i="9"/>
  <c r="AK40" i="9"/>
  <c r="AM40" i="9"/>
  <c r="J41" i="9"/>
  <c r="L41" i="9"/>
  <c r="M41" i="9"/>
  <c r="O41" i="9"/>
  <c r="P41" i="9"/>
  <c r="R41" i="9"/>
  <c r="S41" i="9"/>
  <c r="U41" i="9"/>
  <c r="V41" i="9"/>
  <c r="X41" i="9"/>
  <c r="Y41" i="9"/>
  <c r="AA41" i="9"/>
  <c r="AB41" i="9"/>
  <c r="AD41" i="9"/>
  <c r="AE41" i="9"/>
  <c r="AG41" i="9"/>
  <c r="AH41" i="9"/>
  <c r="AJ41" i="9"/>
  <c r="AK41" i="9"/>
  <c r="AM41" i="9"/>
  <c r="J47" i="9"/>
  <c r="L47" i="9"/>
  <c r="M47" i="9"/>
  <c r="O47" i="9"/>
  <c r="P47" i="9"/>
  <c r="R47" i="9"/>
  <c r="S47" i="9"/>
  <c r="U47" i="9"/>
  <c r="V47" i="9"/>
  <c r="X47" i="9"/>
  <c r="Y47" i="9"/>
  <c r="AA47" i="9"/>
  <c r="AB47" i="9"/>
  <c r="AD47" i="9"/>
  <c r="AE47" i="9"/>
  <c r="AG47" i="9"/>
  <c r="AH47" i="9"/>
  <c r="AJ47" i="9"/>
  <c r="AK47" i="9"/>
  <c r="AM47" i="9"/>
  <c r="J48" i="9"/>
  <c r="L48" i="9"/>
  <c r="M48" i="9"/>
  <c r="O48" i="9"/>
  <c r="P48" i="9"/>
  <c r="R48" i="9"/>
  <c r="S48" i="9"/>
  <c r="U48" i="9"/>
  <c r="V48" i="9"/>
  <c r="X48" i="9"/>
  <c r="Y48" i="9"/>
  <c r="AA48" i="9"/>
  <c r="AB48" i="9"/>
  <c r="AD48" i="9"/>
  <c r="AE48" i="9"/>
  <c r="AG48" i="9"/>
  <c r="AH48" i="9"/>
  <c r="AJ48" i="9"/>
  <c r="AK48" i="9"/>
  <c r="AM48" i="9"/>
  <c r="J49" i="9"/>
  <c r="L49" i="9"/>
  <c r="M49" i="9"/>
  <c r="O49" i="9"/>
  <c r="P49" i="9"/>
  <c r="R49" i="9"/>
  <c r="S49" i="9"/>
  <c r="U49" i="9"/>
  <c r="V49" i="9"/>
  <c r="X49" i="9"/>
  <c r="Y49" i="9"/>
  <c r="AA49" i="9"/>
  <c r="AB49" i="9"/>
  <c r="AD49" i="9"/>
  <c r="AE49" i="9"/>
  <c r="AG49" i="9"/>
  <c r="AH49" i="9"/>
  <c r="AJ49" i="9"/>
  <c r="AK49" i="9"/>
  <c r="AM49" i="9"/>
  <c r="J50" i="9"/>
  <c r="L50" i="9"/>
  <c r="M50" i="9"/>
  <c r="O50" i="9"/>
  <c r="P50" i="9"/>
  <c r="R50" i="9"/>
  <c r="S50" i="9"/>
  <c r="U50" i="9"/>
  <c r="V50" i="9"/>
  <c r="X50" i="9"/>
  <c r="Y50" i="9"/>
  <c r="AA50" i="9"/>
  <c r="AB50" i="9"/>
  <c r="AD50" i="9"/>
  <c r="AE50" i="9"/>
  <c r="AG50" i="9"/>
  <c r="AH50" i="9"/>
  <c r="AJ50" i="9"/>
  <c r="AK50" i="9"/>
  <c r="AM50" i="9"/>
  <c r="J51" i="9"/>
  <c r="L51" i="9"/>
  <c r="M51" i="9"/>
  <c r="O51" i="9"/>
  <c r="P51" i="9"/>
  <c r="R51" i="9"/>
  <c r="S51" i="9"/>
  <c r="U51" i="9"/>
  <c r="V51" i="9"/>
  <c r="X51" i="9"/>
  <c r="Y51" i="9"/>
  <c r="AA51" i="9"/>
  <c r="AB51" i="9"/>
  <c r="AD51" i="9"/>
  <c r="AE51" i="9"/>
  <c r="AG51" i="9"/>
  <c r="AH51" i="9"/>
  <c r="AJ51" i="9"/>
  <c r="AK51" i="9"/>
  <c r="AM51" i="9"/>
  <c r="J52" i="9"/>
  <c r="L52" i="9"/>
  <c r="M52" i="9"/>
  <c r="O52" i="9"/>
  <c r="P52" i="9"/>
  <c r="R52" i="9"/>
  <c r="S52" i="9"/>
  <c r="U52" i="9"/>
  <c r="V52" i="9"/>
  <c r="X52" i="9"/>
  <c r="Y52" i="9"/>
  <c r="AA52" i="9"/>
  <c r="AB52" i="9"/>
  <c r="AD52" i="9"/>
  <c r="AE52" i="9"/>
  <c r="AG52" i="9"/>
  <c r="AH52" i="9"/>
  <c r="AJ52" i="9"/>
  <c r="AK52" i="9"/>
  <c r="AM52" i="9"/>
  <c r="J53" i="9"/>
  <c r="L53" i="9"/>
  <c r="M53" i="9"/>
  <c r="O53" i="9"/>
  <c r="P53" i="9"/>
  <c r="R53" i="9"/>
  <c r="S53" i="9"/>
  <c r="U53" i="9"/>
  <c r="V53" i="9"/>
  <c r="X53" i="9"/>
  <c r="Y53" i="9"/>
  <c r="AA53" i="9"/>
  <c r="AB53" i="9"/>
  <c r="AD53" i="9"/>
  <c r="AE53" i="9"/>
  <c r="AG53" i="9"/>
  <c r="AH53" i="9"/>
  <c r="AJ53" i="9"/>
  <c r="AK53" i="9"/>
  <c r="AM53" i="9"/>
  <c r="J54" i="9"/>
  <c r="L54" i="9"/>
  <c r="M54" i="9"/>
  <c r="O54" i="9"/>
  <c r="P54" i="9"/>
  <c r="R54" i="9"/>
  <c r="S54" i="9"/>
  <c r="U54" i="9"/>
  <c r="V54" i="9"/>
  <c r="X54" i="9"/>
  <c r="Y54" i="9"/>
  <c r="AA54" i="9"/>
  <c r="AB54" i="9"/>
  <c r="AD54" i="9"/>
  <c r="AE54" i="9"/>
  <c r="AG54" i="9"/>
  <c r="AH54" i="9"/>
  <c r="AJ54" i="9"/>
  <c r="AK54" i="9"/>
  <c r="AM54" i="9"/>
  <c r="J55" i="9"/>
  <c r="L55" i="9"/>
  <c r="M55" i="9"/>
  <c r="O55" i="9"/>
  <c r="P55" i="9"/>
  <c r="R55" i="9"/>
  <c r="S55" i="9"/>
  <c r="U55" i="9"/>
  <c r="V55" i="9"/>
  <c r="X55" i="9"/>
  <c r="Y55" i="9"/>
  <c r="AA55" i="9"/>
  <c r="AB55" i="9"/>
  <c r="AD55" i="9"/>
  <c r="AE55" i="9"/>
  <c r="AG55" i="9"/>
  <c r="AH55" i="9"/>
  <c r="AJ55" i="9"/>
  <c r="AK55" i="9"/>
  <c r="AM55" i="9"/>
  <c r="J56" i="9"/>
  <c r="L56" i="9"/>
  <c r="M56" i="9"/>
  <c r="O56" i="9"/>
  <c r="P56" i="9"/>
  <c r="R56" i="9"/>
  <c r="S56" i="9"/>
  <c r="U56" i="9"/>
  <c r="V56" i="9"/>
  <c r="X56" i="9"/>
  <c r="Y56" i="9"/>
  <c r="AA56" i="9"/>
  <c r="AB56" i="9"/>
  <c r="AD56" i="9"/>
  <c r="AE56" i="9"/>
  <c r="AG56" i="9"/>
  <c r="AH56" i="9"/>
  <c r="AJ56" i="9"/>
  <c r="AK56" i="9"/>
  <c r="AM56" i="9"/>
  <c r="J57" i="9"/>
  <c r="L57" i="9"/>
  <c r="M57" i="9"/>
  <c r="O57" i="9"/>
  <c r="P57" i="9"/>
  <c r="R57" i="9"/>
  <c r="S57" i="9"/>
  <c r="U57" i="9"/>
  <c r="V57" i="9"/>
  <c r="X57" i="9"/>
  <c r="Y57" i="9"/>
  <c r="AA57" i="9"/>
  <c r="AB57" i="9"/>
  <c r="AD57" i="9"/>
  <c r="AE57" i="9"/>
  <c r="AG57" i="9"/>
  <c r="AH57" i="9"/>
  <c r="AJ57" i="9"/>
  <c r="AK57" i="9"/>
  <c r="AM57" i="9"/>
  <c r="J58" i="9"/>
  <c r="L58" i="9"/>
  <c r="M58" i="9"/>
  <c r="O58" i="9"/>
  <c r="P58" i="9"/>
  <c r="R58" i="9"/>
  <c r="S58" i="9"/>
  <c r="U58" i="9"/>
  <c r="V58" i="9"/>
  <c r="X58" i="9"/>
  <c r="Y58" i="9"/>
  <c r="AA58" i="9"/>
  <c r="AB58" i="9"/>
  <c r="AD58" i="9"/>
  <c r="AE58" i="9"/>
  <c r="AG58" i="9"/>
  <c r="AH58" i="9"/>
  <c r="AJ58" i="9"/>
  <c r="AK58" i="9"/>
  <c r="AM58" i="9"/>
  <c r="J59" i="9"/>
  <c r="L59" i="9"/>
  <c r="M59" i="9"/>
  <c r="O59" i="9"/>
  <c r="P59" i="9"/>
  <c r="R59" i="9"/>
  <c r="S59" i="9"/>
  <c r="U59" i="9"/>
  <c r="V59" i="9"/>
  <c r="X59" i="9"/>
  <c r="Y59" i="9"/>
  <c r="AA59" i="9"/>
  <c r="AB59" i="9"/>
  <c r="AD59" i="9"/>
  <c r="AE59" i="9"/>
  <c r="AG59" i="9"/>
  <c r="AH59" i="9"/>
  <c r="AJ59" i="9"/>
  <c r="AK59" i="9"/>
  <c r="AM59" i="9"/>
  <c r="J60" i="9"/>
  <c r="L60" i="9"/>
  <c r="M60" i="9"/>
  <c r="O60" i="9"/>
  <c r="P60" i="9"/>
  <c r="R60" i="9"/>
  <c r="S60" i="9"/>
  <c r="U60" i="9"/>
  <c r="V60" i="9"/>
  <c r="X60" i="9"/>
  <c r="Y60" i="9"/>
  <c r="AA60" i="9"/>
  <c r="AB60" i="9"/>
  <c r="AD60" i="9"/>
  <c r="AE60" i="9"/>
  <c r="AG60" i="9"/>
  <c r="AH60" i="9"/>
  <c r="AJ60" i="9"/>
  <c r="AK60" i="9"/>
  <c r="AM60" i="9"/>
  <c r="J61" i="9"/>
  <c r="L61" i="9"/>
  <c r="M61" i="9"/>
  <c r="O61" i="9"/>
  <c r="P61" i="9"/>
  <c r="R61" i="9"/>
  <c r="S61" i="9"/>
  <c r="U61" i="9"/>
  <c r="V61" i="9"/>
  <c r="X61" i="9"/>
  <c r="Y61" i="9"/>
  <c r="AA61" i="9"/>
  <c r="AB61" i="9"/>
  <c r="AD61" i="9"/>
  <c r="AE61" i="9"/>
  <c r="AG61" i="9"/>
  <c r="AH61" i="9"/>
  <c r="AJ61" i="9"/>
  <c r="AK61" i="9"/>
  <c r="AM61" i="9"/>
  <c r="J62" i="9"/>
  <c r="L62" i="9"/>
  <c r="M62" i="9"/>
  <c r="O62" i="9"/>
  <c r="P62" i="9"/>
  <c r="R62" i="9"/>
  <c r="S62" i="9"/>
  <c r="U62" i="9"/>
  <c r="V62" i="9"/>
  <c r="X62" i="9"/>
  <c r="Y62" i="9"/>
  <c r="AA62" i="9"/>
  <c r="AB62" i="9"/>
  <c r="AD62" i="9"/>
  <c r="AE62" i="9"/>
  <c r="AG62" i="9"/>
  <c r="AH62" i="9"/>
  <c r="AJ62" i="9"/>
  <c r="AK62" i="9"/>
  <c r="AM62" i="9"/>
  <c r="J63" i="9"/>
  <c r="L63" i="9"/>
  <c r="M63" i="9"/>
  <c r="O63" i="9"/>
  <c r="P63" i="9"/>
  <c r="R63" i="9"/>
  <c r="S63" i="9"/>
  <c r="U63" i="9"/>
  <c r="V63" i="9"/>
  <c r="X63" i="9"/>
  <c r="Y63" i="9"/>
  <c r="AA63" i="9"/>
  <c r="AB63" i="9"/>
  <c r="AD63" i="9"/>
  <c r="AE63" i="9"/>
  <c r="AG63" i="9"/>
  <c r="AH63" i="9"/>
  <c r="AJ63" i="9"/>
  <c r="AK63" i="9"/>
  <c r="AM63" i="9"/>
  <c r="J67" i="9"/>
  <c r="L67" i="9"/>
  <c r="M67" i="9"/>
  <c r="O67" i="9"/>
  <c r="P67" i="9"/>
  <c r="R67" i="9"/>
  <c r="S67" i="9"/>
  <c r="U67" i="9"/>
  <c r="V67" i="9"/>
  <c r="X67" i="9"/>
  <c r="Y67" i="9"/>
  <c r="AA67" i="9"/>
  <c r="AB67" i="9"/>
  <c r="AD67" i="9"/>
  <c r="AE67" i="9"/>
  <c r="AG67" i="9"/>
  <c r="AH67" i="9"/>
  <c r="AJ67" i="9"/>
  <c r="AK67" i="9"/>
  <c r="AM67" i="9"/>
  <c r="J68" i="9"/>
  <c r="L68" i="9"/>
  <c r="M68" i="9"/>
  <c r="O68" i="9"/>
  <c r="P68" i="9"/>
  <c r="R68" i="9"/>
  <c r="S68" i="9"/>
  <c r="U68" i="9"/>
  <c r="V68" i="9"/>
  <c r="X68" i="9"/>
  <c r="Y68" i="9"/>
  <c r="AA68" i="9"/>
  <c r="AB68" i="9"/>
  <c r="AD68" i="9"/>
  <c r="AE68" i="9"/>
  <c r="AG68" i="9"/>
  <c r="AH68" i="9"/>
  <c r="AJ68" i="9"/>
  <c r="AK68" i="9"/>
  <c r="AM68" i="9"/>
  <c r="J69" i="9"/>
  <c r="L69" i="9"/>
  <c r="M69" i="9"/>
  <c r="O69" i="9"/>
  <c r="P69" i="9"/>
  <c r="R69" i="9"/>
  <c r="S69" i="9"/>
  <c r="U69" i="9"/>
  <c r="V69" i="9"/>
  <c r="X69" i="9"/>
  <c r="Y69" i="9"/>
  <c r="AA69" i="9"/>
  <c r="AB69" i="9"/>
  <c r="AD69" i="9"/>
  <c r="AE69" i="9"/>
  <c r="AG69" i="9"/>
  <c r="AH69" i="9"/>
  <c r="AJ69" i="9"/>
  <c r="AK69" i="9"/>
  <c r="AM69" i="9"/>
  <c r="J70" i="9"/>
  <c r="L70" i="9"/>
  <c r="M70" i="9"/>
  <c r="O70" i="9"/>
  <c r="P70" i="9"/>
  <c r="R70" i="9"/>
  <c r="S70" i="9"/>
  <c r="U70" i="9"/>
  <c r="V70" i="9"/>
  <c r="X70" i="9"/>
  <c r="Y70" i="9"/>
  <c r="AA70" i="9"/>
  <c r="AB70" i="9"/>
  <c r="AD70" i="9"/>
  <c r="AE70" i="9"/>
  <c r="AG70" i="9"/>
  <c r="AH70" i="9"/>
  <c r="AJ70" i="9"/>
  <c r="AK70" i="9"/>
  <c r="AM70" i="9"/>
  <c r="J71" i="9"/>
  <c r="L71" i="9"/>
  <c r="M71" i="9"/>
  <c r="O71" i="9"/>
  <c r="P71" i="9"/>
  <c r="R71" i="9"/>
  <c r="S71" i="9"/>
  <c r="U71" i="9"/>
  <c r="V71" i="9"/>
  <c r="X71" i="9"/>
  <c r="Y71" i="9"/>
  <c r="AA71" i="9"/>
  <c r="AB71" i="9"/>
  <c r="AD71" i="9"/>
  <c r="AE71" i="9"/>
  <c r="AG71" i="9"/>
  <c r="AH71" i="9"/>
  <c r="AJ71" i="9"/>
  <c r="AK71" i="9"/>
  <c r="AM71" i="9"/>
  <c r="J72" i="9"/>
  <c r="L72" i="9"/>
  <c r="M72" i="9"/>
  <c r="O72" i="9"/>
  <c r="P72" i="9"/>
  <c r="R72" i="9"/>
  <c r="S72" i="9"/>
  <c r="U72" i="9"/>
  <c r="V72" i="9"/>
  <c r="X72" i="9"/>
  <c r="Y72" i="9"/>
  <c r="AA72" i="9"/>
  <c r="AB72" i="9"/>
  <c r="AD72" i="9"/>
  <c r="AE72" i="9"/>
  <c r="AG72" i="9"/>
  <c r="AH72" i="9"/>
  <c r="AJ72" i="9"/>
  <c r="AK72" i="9"/>
  <c r="AM72" i="9"/>
  <c r="J73" i="9"/>
  <c r="L73" i="9"/>
  <c r="M73" i="9"/>
  <c r="O73" i="9"/>
  <c r="P73" i="9"/>
  <c r="R73" i="9"/>
  <c r="S73" i="9"/>
  <c r="U73" i="9"/>
  <c r="V73" i="9"/>
  <c r="X73" i="9"/>
  <c r="Y73" i="9"/>
  <c r="AA73" i="9"/>
  <c r="AB73" i="9"/>
  <c r="AD73" i="9"/>
  <c r="AE73" i="9"/>
  <c r="AG73" i="9"/>
  <c r="AH73" i="9"/>
  <c r="AJ73" i="9"/>
  <c r="AK73" i="9"/>
  <c r="AM73" i="9"/>
  <c r="J74" i="9"/>
  <c r="L74" i="9"/>
  <c r="M74" i="9"/>
  <c r="O74" i="9"/>
  <c r="P74" i="9"/>
  <c r="R74" i="9"/>
  <c r="S74" i="9"/>
  <c r="U74" i="9"/>
  <c r="V74" i="9"/>
  <c r="X74" i="9"/>
  <c r="Y74" i="9"/>
  <c r="AA74" i="9"/>
  <c r="AB74" i="9"/>
  <c r="AD74" i="9"/>
  <c r="AE74" i="9"/>
  <c r="AG74" i="9"/>
  <c r="AH74" i="9"/>
  <c r="AJ74" i="9"/>
  <c r="AK74" i="9"/>
  <c r="AM74" i="9"/>
  <c r="J75" i="9"/>
  <c r="L75" i="9"/>
  <c r="O75" i="9"/>
  <c r="R75" i="9"/>
  <c r="S75" i="9"/>
  <c r="U75" i="9"/>
  <c r="V75" i="9"/>
  <c r="X75" i="9"/>
  <c r="Y75" i="9"/>
  <c r="AA75" i="9"/>
  <c r="AB75" i="9"/>
  <c r="AD75" i="9"/>
  <c r="AE75" i="9"/>
  <c r="AG75" i="9"/>
  <c r="AH75" i="9"/>
  <c r="AJ75" i="9"/>
  <c r="AK75" i="9"/>
  <c r="AM75" i="9"/>
  <c r="J76" i="9"/>
  <c r="L76" i="9"/>
  <c r="O76" i="9"/>
  <c r="R76" i="9"/>
  <c r="S76" i="9"/>
  <c r="U76" i="9"/>
  <c r="V76" i="9"/>
  <c r="X76" i="9"/>
  <c r="Y76" i="9"/>
  <c r="AA76" i="9"/>
  <c r="AB76" i="9"/>
  <c r="AD76" i="9"/>
  <c r="AE76" i="9"/>
  <c r="AG76" i="9"/>
  <c r="AH76" i="9"/>
  <c r="AJ76" i="9"/>
  <c r="AK76" i="9"/>
  <c r="AM76" i="9"/>
  <c r="B58" i="9"/>
  <c r="B59" i="9"/>
  <c r="B60" i="9"/>
  <c r="B61" i="9"/>
  <c r="B62" i="9"/>
  <c r="B63" i="9"/>
  <c r="B67" i="9"/>
  <c r="B68" i="9"/>
  <c r="C58" i="9"/>
  <c r="C59" i="9"/>
  <c r="C60" i="9"/>
  <c r="C61" i="9"/>
  <c r="C62" i="9"/>
  <c r="C63" i="9"/>
  <c r="C67" i="9"/>
  <c r="C68" i="9"/>
  <c r="D58" i="9"/>
  <c r="D59" i="9"/>
  <c r="D60" i="9"/>
  <c r="D61" i="9"/>
  <c r="D62" i="9"/>
  <c r="D63" i="9"/>
  <c r="D67" i="9"/>
  <c r="D68" i="9"/>
  <c r="E58" i="9"/>
  <c r="E59" i="9"/>
  <c r="E60" i="9"/>
  <c r="E61" i="9"/>
  <c r="E62" i="9"/>
  <c r="E63" i="9"/>
  <c r="E67" i="9"/>
  <c r="E68" i="9"/>
  <c r="F58" i="9"/>
  <c r="F59" i="9"/>
  <c r="F60" i="9"/>
  <c r="F61" i="9"/>
  <c r="F62" i="9"/>
  <c r="F63" i="9"/>
  <c r="F67" i="9"/>
  <c r="F68" i="9"/>
  <c r="G58" i="9"/>
  <c r="G59" i="9"/>
  <c r="G60" i="9"/>
  <c r="G61" i="9"/>
  <c r="G62" i="9"/>
  <c r="G63" i="9"/>
  <c r="G67" i="9"/>
  <c r="G68" i="9"/>
  <c r="H58" i="9"/>
  <c r="H59" i="9"/>
  <c r="H60" i="9"/>
  <c r="H61" i="9"/>
  <c r="H62" i="9"/>
  <c r="H63" i="9"/>
  <c r="H67" i="9"/>
  <c r="H68" i="9"/>
  <c r="I58" i="9"/>
  <c r="I59" i="9"/>
  <c r="I60" i="9"/>
  <c r="I61" i="9"/>
  <c r="I62" i="9"/>
  <c r="I63" i="9"/>
  <c r="I67" i="9"/>
  <c r="I68" i="9"/>
  <c r="B48" i="9"/>
  <c r="B49" i="9"/>
  <c r="B50" i="9"/>
  <c r="B51" i="9"/>
  <c r="B52" i="9"/>
  <c r="B53" i="9"/>
  <c r="B54" i="9"/>
  <c r="B55" i="9"/>
  <c r="B56" i="9"/>
  <c r="C48" i="9"/>
  <c r="C49" i="9"/>
  <c r="C50" i="9"/>
  <c r="C51" i="9"/>
  <c r="C52" i="9"/>
  <c r="C53" i="9"/>
  <c r="C54" i="9"/>
  <c r="C55" i="9"/>
  <c r="C56" i="9"/>
  <c r="D48" i="9"/>
  <c r="D49" i="9"/>
  <c r="D50" i="9"/>
  <c r="D51" i="9"/>
  <c r="D52" i="9"/>
  <c r="D53" i="9"/>
  <c r="D54" i="9"/>
  <c r="D55" i="9"/>
  <c r="D56" i="9"/>
  <c r="E48" i="9"/>
  <c r="E49" i="9"/>
  <c r="E50" i="9"/>
  <c r="E51" i="9"/>
  <c r="E52" i="9"/>
  <c r="E53" i="9"/>
  <c r="E54" i="9"/>
  <c r="E55" i="9"/>
  <c r="E56" i="9"/>
  <c r="F48" i="9"/>
  <c r="F49" i="9"/>
  <c r="F50" i="9"/>
  <c r="F51" i="9"/>
  <c r="F52" i="9"/>
  <c r="F53" i="9"/>
  <c r="F54" i="9"/>
  <c r="F55" i="9"/>
  <c r="F56" i="9"/>
  <c r="G48" i="9"/>
  <c r="G49" i="9"/>
  <c r="G50" i="9"/>
  <c r="G51" i="9"/>
  <c r="G52" i="9"/>
  <c r="G53" i="9"/>
  <c r="G54" i="9"/>
  <c r="G55" i="9"/>
  <c r="G56" i="9"/>
  <c r="H48" i="9"/>
  <c r="H49" i="9"/>
  <c r="H50" i="9"/>
  <c r="H51" i="9"/>
  <c r="H52" i="9"/>
  <c r="H53" i="9"/>
  <c r="H54" i="9"/>
  <c r="H55" i="9"/>
  <c r="H56" i="9"/>
  <c r="I48" i="9"/>
  <c r="I49" i="9"/>
  <c r="I50" i="9"/>
  <c r="I51" i="9"/>
  <c r="I52" i="9"/>
  <c r="I53" i="9"/>
  <c r="I54" i="9"/>
  <c r="I55" i="9"/>
  <c r="I56" i="9"/>
  <c r="F9" i="9"/>
  <c r="F10" i="9"/>
  <c r="N67" i="9" l="1" a="1"/>
  <c r="N67" i="9" s="1"/>
  <c r="N62" i="9" a="1"/>
  <c r="N62" i="9" s="1"/>
  <c r="N60" i="9" a="1"/>
  <c r="N60" i="9" s="1"/>
  <c r="N58" i="9" a="1"/>
  <c r="N58" i="9" s="1"/>
  <c r="K65" i="9" a="1"/>
  <c r="K65" i="9" s="1"/>
  <c r="Q32" i="9" a="1"/>
  <c r="Q32" i="9" s="1"/>
  <c r="N54" i="9" a="1"/>
  <c r="N54" i="9" s="1"/>
  <c r="T38" i="9" a="1"/>
  <c r="T38" i="9" s="1"/>
  <c r="T37" i="9" a="1"/>
  <c r="T37" i="9" s="1"/>
  <c r="N33" i="9" a="1"/>
  <c r="N33" i="9" s="1"/>
  <c r="T61" i="9" a="1"/>
  <c r="T61" i="9" s="1"/>
  <c r="AS37" i="9"/>
  <c r="N56" i="9" a="1"/>
  <c r="N56" i="9" s="1"/>
  <c r="T68" i="9" a="1"/>
  <c r="T68" i="9" s="1"/>
  <c r="AI30" i="9" a="1"/>
  <c r="AI30" i="9" s="1"/>
  <c r="AI65" i="9" a="1"/>
  <c r="AI65" i="9" s="1"/>
  <c r="AL65" i="9" a="1"/>
  <c r="AL65" i="9" s="1"/>
  <c r="W64" i="9" a="1"/>
  <c r="W64" i="9" s="1"/>
  <c r="T59" i="9" a="1"/>
  <c r="T59" i="9" s="1"/>
  <c r="K35" i="9" a="1"/>
  <c r="K35" i="9" s="1"/>
  <c r="Z33" i="9" a="1"/>
  <c r="Z33" i="9" s="1"/>
  <c r="Z32" i="9" a="1"/>
  <c r="Z32" i="9" s="1"/>
  <c r="T32" i="9" a="1"/>
  <c r="T32" i="9" s="1"/>
  <c r="AF32" i="9" a="1"/>
  <c r="AF32" i="9" s="1"/>
  <c r="Q33" i="9" a="1"/>
  <c r="Q33" i="9" s="1"/>
  <c r="AT36" i="1"/>
  <c r="AR36" i="1" s="1"/>
  <c r="AQ36" i="1" s="1"/>
  <c r="Z64" i="9" a="1"/>
  <c r="Z64" i="9" s="1"/>
  <c r="AC64" i="9" a="1"/>
  <c r="AC64" i="9" s="1"/>
  <c r="AF65" i="9" a="1"/>
  <c r="AF65" i="9" s="1"/>
  <c r="AL64" i="9" a="1"/>
  <c r="AL64" i="9" s="1"/>
  <c r="AI64" i="9" a="1"/>
  <c r="AI64" i="9" s="1"/>
  <c r="AF64" i="9" a="1"/>
  <c r="AF64" i="9" s="1"/>
  <c r="K64" i="9" a="1"/>
  <c r="K64" i="9" s="1"/>
  <c r="W39" i="9" a="1"/>
  <c r="W39" i="9" s="1"/>
  <c r="N64" i="9" a="1"/>
  <c r="N64" i="9" s="1"/>
  <c r="AL39" i="9" a="1"/>
  <c r="AL39" i="9" s="1"/>
  <c r="Q64" i="9" a="1"/>
  <c r="Q64" i="9" s="1"/>
  <c r="W30" i="9" a="1"/>
  <c r="W30" i="9" s="1"/>
  <c r="K20" i="9" a="1"/>
  <c r="K20" i="9" s="1"/>
  <c r="K19" i="9" a="1"/>
  <c r="K19" i="9" s="1"/>
  <c r="K18" i="9" a="1"/>
  <c r="K18" i="9" s="1"/>
  <c r="AU66" i="9"/>
  <c r="AL18" i="9" a="1"/>
  <c r="AL18" i="9" s="1"/>
  <c r="Z18" i="9" a="1"/>
  <c r="Z18" i="9" s="1"/>
  <c r="AC37" i="9" a="1"/>
  <c r="AC37" i="9" s="1"/>
  <c r="N32" i="9" a="1"/>
  <c r="N32" i="9" s="1"/>
  <c r="AI18" i="9" a="1"/>
  <c r="AI18" i="9" s="1"/>
  <c r="W18" i="9" a="1"/>
  <c r="W18" i="9" s="1"/>
  <c r="AC39" i="9" a="1"/>
  <c r="AC39" i="9" s="1"/>
  <c r="Z39" i="9" a="1"/>
  <c r="Z39" i="9" s="1"/>
  <c r="AU37" i="9"/>
  <c r="AC66" i="9" a="1"/>
  <c r="AC66" i="9" s="1"/>
  <c r="AF18" i="9" a="1"/>
  <c r="AF18" i="9" s="1"/>
  <c r="Q18" i="9" a="1"/>
  <c r="Q18" i="9" s="1"/>
  <c r="AF39" i="9" a="1"/>
  <c r="AF39" i="9" s="1"/>
  <c r="Q39" i="9" a="1"/>
  <c r="Q39" i="9" s="1"/>
  <c r="Z34" i="9" a="1"/>
  <c r="Z34" i="9" s="1"/>
  <c r="AC65" i="9" a="1"/>
  <c r="AC65" i="9" s="1"/>
  <c r="Z65" i="9" a="1"/>
  <c r="Z65" i="9" s="1"/>
  <c r="T65" i="9" a="1"/>
  <c r="T65" i="9" s="1"/>
  <c r="AU64" i="9"/>
  <c r="Q66" i="9" a="1"/>
  <c r="Q66" i="9" s="1"/>
  <c r="AU65" i="9"/>
  <c r="AC18" i="9" a="1"/>
  <c r="AC18" i="9" s="1"/>
  <c r="N18" i="9" a="1"/>
  <c r="N18" i="9" s="1"/>
  <c r="AI39" i="9" a="1"/>
  <c r="AI39" i="9" s="1"/>
  <c r="T39" i="9" a="1"/>
  <c r="T39" i="9" s="1"/>
  <c r="Q37" i="9" a="1"/>
  <c r="Q37" i="9" s="1"/>
  <c r="AL34" i="9" a="1"/>
  <c r="AL34" i="9" s="1"/>
  <c r="Q65" i="9" a="1"/>
  <c r="Q65" i="9" s="1"/>
  <c r="N65" i="9" a="1"/>
  <c r="N65" i="9" s="1"/>
  <c r="AU19" i="9"/>
  <c r="AL32" i="9" a="1"/>
  <c r="AL32" i="9" s="1"/>
  <c r="AC32" i="9" a="1"/>
  <c r="AC32" i="9" s="1"/>
  <c r="W32" i="9" a="1"/>
  <c r="W32" i="9" s="1"/>
  <c r="AU35" i="9"/>
  <c r="AU31" i="9"/>
  <c r="AL66" i="9" a="1"/>
  <c r="AL66" i="9" s="1"/>
  <c r="Z66" i="9" a="1"/>
  <c r="Z66" i="9" s="1"/>
  <c r="N66" i="9" a="1"/>
  <c r="N66" i="9" s="1"/>
  <c r="AI32" i="9" a="1"/>
  <c r="AI32" i="9" s="1"/>
  <c r="AU36" i="9"/>
  <c r="AI66" i="9" a="1"/>
  <c r="AI66" i="9" s="1"/>
  <c r="K66" i="9" a="1"/>
  <c r="K66" i="9" s="1"/>
  <c r="T18" i="9" a="1"/>
  <c r="T18" i="9" s="1"/>
  <c r="AU30" i="9"/>
  <c r="N34" i="9" a="1"/>
  <c r="N34" i="9" s="1"/>
  <c r="AF66" i="9" a="1"/>
  <c r="AF66" i="9" s="1"/>
  <c r="T66" i="9" a="1"/>
  <c r="T66" i="9" s="1"/>
  <c r="AL33" i="9" a="1"/>
  <c r="AL33" i="9" s="1"/>
  <c r="AC33" i="9" a="1"/>
  <c r="AC33" i="9" s="1"/>
  <c r="T33" i="9" a="1"/>
  <c r="T33" i="9" s="1"/>
  <c r="AI20" i="9" a="1"/>
  <c r="AI20" i="9" s="1"/>
  <c r="AF33" i="9" a="1"/>
  <c r="AF33" i="9" s="1"/>
  <c r="W33" i="9" a="1"/>
  <c r="W33" i="9" s="1"/>
  <c r="N20" i="9" a="1"/>
  <c r="N20" i="9" s="1"/>
  <c r="AI33" i="9" a="1"/>
  <c r="AI33" i="9" s="1"/>
  <c r="AU34" i="9"/>
  <c r="AP163" i="9"/>
  <c r="AV163" i="9" s="1"/>
  <c r="AU38" i="9"/>
  <c r="AL30" i="9" a="1"/>
  <c r="AL30" i="9" s="1"/>
  <c r="AC34" i="9" a="1"/>
  <c r="AC34" i="9" s="1"/>
  <c r="Z30" i="9" a="1"/>
  <c r="Z30" i="9" s="1"/>
  <c r="Q34" i="9" a="1"/>
  <c r="Q34" i="9" s="1"/>
  <c r="N30" i="9" a="1"/>
  <c r="N30" i="9" s="1"/>
  <c r="AU39" i="9"/>
  <c r="AU32" i="9"/>
  <c r="AI163" i="9" a="1"/>
  <c r="AI163" i="9" s="1"/>
  <c r="Z20" i="9" a="1"/>
  <c r="Z20" i="9" s="1"/>
  <c r="AL38" i="9" a="1"/>
  <c r="AL38" i="9" s="1"/>
  <c r="AI38" i="9" a="1"/>
  <c r="AI38" i="9" s="1"/>
  <c r="AF38" i="9" a="1"/>
  <c r="AF38" i="9" s="1"/>
  <c r="AC38" i="9" a="1"/>
  <c r="AC38" i="9" s="1"/>
  <c r="Q38" i="9" a="1"/>
  <c r="Q38" i="9" s="1"/>
  <c r="AF34" i="9" a="1"/>
  <c r="AF34" i="9" s="1"/>
  <c r="AC30" i="9" a="1"/>
  <c r="AC30" i="9" s="1"/>
  <c r="T34" i="9" a="1"/>
  <c r="T34" i="9" s="1"/>
  <c r="Q30" i="9" a="1"/>
  <c r="Q30" i="9" s="1"/>
  <c r="AL36" i="9" a="1"/>
  <c r="AL36" i="9" s="1"/>
  <c r="AI36" i="9" a="1"/>
  <c r="AI36" i="9" s="1"/>
  <c r="AF36" i="9" a="1"/>
  <c r="AF36" i="9" s="1"/>
  <c r="AC36" i="9" a="1"/>
  <c r="AC36" i="9" s="1"/>
  <c r="Z36" i="9" a="1"/>
  <c r="Z36" i="9" s="1"/>
  <c r="W36" i="9" a="1"/>
  <c r="W36" i="9" s="1"/>
  <c r="T36" i="9" a="1"/>
  <c r="T36" i="9" s="1"/>
  <c r="Q36" i="9" a="1"/>
  <c r="Q36" i="9" s="1"/>
  <c r="N36" i="9" a="1"/>
  <c r="N36" i="9" s="1"/>
  <c r="AF147" i="9" a="1"/>
  <c r="AF147" i="9" s="1"/>
  <c r="AF167" i="9" a="1"/>
  <c r="AF167" i="9" s="1"/>
  <c r="W20" i="9" a="1"/>
  <c r="W20" i="9" s="1"/>
  <c r="Z38" i="9" a="1"/>
  <c r="Z38" i="9" s="1"/>
  <c r="W38" i="9" a="1"/>
  <c r="W38" i="9" s="1"/>
  <c r="K38" i="9" a="1"/>
  <c r="K38" i="9" s="1"/>
  <c r="AI34" i="9" a="1"/>
  <c r="AI34" i="9" s="1"/>
  <c r="AF30" i="9" a="1"/>
  <c r="AF30" i="9" s="1"/>
  <c r="W34" i="9" a="1"/>
  <c r="W34" i="9" s="1"/>
  <c r="T30" i="9" a="1"/>
  <c r="T30" i="9" s="1"/>
  <c r="K34" i="9" a="1"/>
  <c r="K34" i="9" s="1"/>
  <c r="AU33" i="9"/>
  <c r="AU18" i="9"/>
  <c r="AL37" i="9" a="1"/>
  <c r="AL37" i="9" s="1"/>
  <c r="Z37" i="9" a="1"/>
  <c r="Z37" i="9" s="1"/>
  <c r="N37" i="9" a="1"/>
  <c r="N37" i="9" s="1"/>
  <c r="AH156" i="9"/>
  <c r="AF20" i="9" a="1"/>
  <c r="AF20" i="9" s="1"/>
  <c r="T20" i="9" a="1"/>
  <c r="T20" i="9" s="1"/>
  <c r="AI37" i="9" a="1"/>
  <c r="AI37" i="9" s="1"/>
  <c r="W37" i="9" a="1"/>
  <c r="W37" i="9" s="1"/>
  <c r="K37" i="9" a="1"/>
  <c r="K37" i="9" s="1"/>
  <c r="AC20" i="9" a="1"/>
  <c r="AC20" i="9" s="1"/>
  <c r="Q20" i="9" a="1"/>
  <c r="Q20" i="9" s="1"/>
  <c r="AF37" i="9" a="1"/>
  <c r="AF37" i="9" s="1"/>
  <c r="AL35" i="9" a="1"/>
  <c r="AL35" i="9" s="1"/>
  <c r="AL31" i="9" a="1"/>
  <c r="AL31" i="9" s="1"/>
  <c r="AI35" i="9" a="1"/>
  <c r="AI35" i="9" s="1"/>
  <c r="AI31" i="9" a="1"/>
  <c r="AI31" i="9" s="1"/>
  <c r="AF35" i="9" a="1"/>
  <c r="AF35" i="9" s="1"/>
  <c r="AF31" i="9" a="1"/>
  <c r="AF31" i="9" s="1"/>
  <c r="AC35" i="9" a="1"/>
  <c r="AC35" i="9" s="1"/>
  <c r="AC31" i="9" a="1"/>
  <c r="AC31" i="9" s="1"/>
  <c r="Z35" i="9" a="1"/>
  <c r="Z35" i="9" s="1"/>
  <c r="Z31" i="9" a="1"/>
  <c r="Z31" i="9" s="1"/>
  <c r="W35" i="9" a="1"/>
  <c r="W35" i="9" s="1"/>
  <c r="W31" i="9" a="1"/>
  <c r="W31" i="9" s="1"/>
  <c r="T35" i="9" a="1"/>
  <c r="T35" i="9" s="1"/>
  <c r="T31" i="9" a="1"/>
  <c r="T31" i="9" s="1"/>
  <c r="Q35" i="9" a="1"/>
  <c r="Q35" i="9" s="1"/>
  <c r="Q31" i="9" a="1"/>
  <c r="Q31" i="9" s="1"/>
  <c r="N35" i="9" a="1"/>
  <c r="N35" i="9" s="1"/>
  <c r="N31" i="9" a="1"/>
  <c r="N31" i="9" s="1"/>
  <c r="AU20" i="9"/>
  <c r="Z166" i="9" a="1"/>
  <c r="Z166" i="9" s="1"/>
  <c r="AL20" i="9" a="1"/>
  <c r="AL20" i="9" s="1"/>
  <c r="AU21" i="9"/>
  <c r="K167" i="9" a="1"/>
  <c r="K167" i="9" s="1"/>
  <c r="AL19" i="9" a="1"/>
  <c r="AL19" i="9" s="1"/>
  <c r="AI19" i="9" a="1"/>
  <c r="AI19" i="9" s="1"/>
  <c r="AF19" i="9" a="1"/>
  <c r="AF19" i="9" s="1"/>
  <c r="AC19" i="9" a="1"/>
  <c r="AC19" i="9" s="1"/>
  <c r="Z19" i="9" a="1"/>
  <c r="Z19" i="9" s="1"/>
  <c r="W19" i="9" a="1"/>
  <c r="W19" i="9" s="1"/>
  <c r="T19" i="9" a="1"/>
  <c r="T19" i="9" s="1"/>
  <c r="Q19" i="9" a="1"/>
  <c r="Q19" i="9" s="1"/>
  <c r="N19" i="9" a="1"/>
  <c r="N19" i="9" s="1"/>
  <c r="K151" i="9" a="1"/>
  <c r="K151" i="9" s="1"/>
  <c r="Q162" i="9" a="1"/>
  <c r="Q162" i="9" s="1"/>
  <c r="AC151" i="9" a="1"/>
  <c r="AC151" i="9" s="1"/>
  <c r="Z158" i="9" a="1"/>
  <c r="Z158" i="9" s="1"/>
  <c r="AP21" i="9"/>
  <c r="AV21" i="9" s="1"/>
  <c r="Q147" i="9" a="1"/>
  <c r="Q147" i="9" s="1"/>
  <c r="Q170" i="9" a="1"/>
  <c r="Q170" i="9" s="1"/>
  <c r="N158" i="9" a="1"/>
  <c r="N158" i="9" s="1"/>
  <c r="AL21" i="9" a="1"/>
  <c r="AL21" i="9" s="1"/>
  <c r="AI21" i="9" a="1"/>
  <c r="AI21" i="9" s="1"/>
  <c r="AF21" i="9" a="1"/>
  <c r="AF21" i="9" s="1"/>
  <c r="AC21" i="9" a="1"/>
  <c r="AC21" i="9" s="1"/>
  <c r="Z21" i="9" a="1"/>
  <c r="Z21" i="9" s="1"/>
  <c r="W21" i="9" a="1"/>
  <c r="W21" i="9" s="1"/>
  <c r="T21" i="9" a="1"/>
  <c r="T21" i="9" s="1"/>
  <c r="Q21" i="9" a="1"/>
  <c r="Q21" i="9" s="1"/>
  <c r="N21" i="9" a="1"/>
  <c r="N21" i="9" s="1"/>
  <c r="AL149" i="9" a="1"/>
  <c r="AL149" i="9" s="1"/>
  <c r="AL145" i="9" a="1"/>
  <c r="AL145" i="9" s="1"/>
  <c r="Q161" i="9" a="1"/>
  <c r="Q161" i="9" s="1"/>
  <c r="AS63" i="1"/>
  <c r="AP63" i="1" s="1"/>
  <c r="AC140" i="9" a="1"/>
  <c r="AC140" i="9" s="1"/>
  <c r="AL164" i="9" a="1"/>
  <c r="AL164" i="9" s="1"/>
  <c r="K172" i="9" a="1"/>
  <c r="K172" i="9" s="1"/>
  <c r="T148" i="9" a="1"/>
  <c r="T148" i="9" s="1"/>
  <c r="W153" i="9" a="1"/>
  <c r="W153" i="9" s="1"/>
  <c r="AN63" i="1"/>
  <c r="AO63" i="1" s="1"/>
  <c r="AN65" i="1"/>
  <c r="AO65" i="1" s="1"/>
  <c r="AN64" i="1"/>
  <c r="AO64" i="1" s="1"/>
  <c r="K163" i="9" a="1"/>
  <c r="K163" i="9" s="1"/>
  <c r="Q167" i="9" a="1"/>
  <c r="Q167" i="9" s="1"/>
  <c r="AI167" i="9" a="1"/>
  <c r="AI167" i="9" s="1"/>
  <c r="AL171" i="9" a="1"/>
  <c r="AL171" i="9" s="1"/>
  <c r="AI171" i="9" a="1"/>
  <c r="AI171" i="9" s="1"/>
  <c r="K159" i="9" a="1"/>
  <c r="K159" i="9" s="1"/>
  <c r="W163" i="9" a="1"/>
  <c r="W163" i="9" s="1"/>
  <c r="T167" i="9" a="1"/>
  <c r="T167" i="9" s="1"/>
  <c r="K171" i="9" a="1"/>
  <c r="K171" i="9" s="1"/>
  <c r="AP171" i="9"/>
  <c r="AV171" i="9" s="1"/>
  <c r="AF163" i="9" a="1"/>
  <c r="AF163" i="9" s="1"/>
  <c r="AC167" i="9" a="1"/>
  <c r="AC167" i="9" s="1"/>
  <c r="T171" i="9" a="1"/>
  <c r="T171" i="9" s="1"/>
  <c r="AT37" i="1"/>
  <c r="AT38" i="9" s="1"/>
  <c r="AT64" i="1"/>
  <c r="AP64" i="1" s="1"/>
  <c r="AS31" i="1"/>
  <c r="T172" i="9" a="1"/>
  <c r="T172" i="9" s="1"/>
  <c r="AT30" i="1"/>
  <c r="AF172" i="9" a="1"/>
  <c r="AF172" i="9" s="1"/>
  <c r="AS65" i="1"/>
  <c r="AC141" i="9" a="1"/>
  <c r="AC141" i="9" s="1"/>
  <c r="AC162" i="9" a="1"/>
  <c r="AC162" i="9" s="1"/>
  <c r="AL167" i="9" a="1"/>
  <c r="AL167" i="9" s="1"/>
  <c r="W167" i="9" a="1"/>
  <c r="W167" i="9" s="1"/>
  <c r="AP172" i="9"/>
  <c r="AV172" i="9" s="1"/>
  <c r="AI172" i="9" a="1"/>
  <c r="AI172" i="9" s="1"/>
  <c r="AT34" i="1"/>
  <c r="AP34" i="1" s="1"/>
  <c r="AN33" i="1"/>
  <c r="AO33" i="1" s="1"/>
  <c r="AN32" i="1"/>
  <c r="AO32" i="1" s="1"/>
  <c r="AN34" i="1"/>
  <c r="AO34" i="1" s="1"/>
  <c r="AN31" i="1"/>
  <c r="AO31" i="1" s="1"/>
  <c r="AN35" i="1"/>
  <c r="AO35" i="1" s="1"/>
  <c r="AN30" i="1"/>
  <c r="AO30" i="1" s="1"/>
  <c r="AF142" i="9" a="1"/>
  <c r="AF142" i="9" s="1"/>
  <c r="AN38" i="1"/>
  <c r="AO38" i="1" s="1"/>
  <c r="AS33" i="1"/>
  <c r="AP33" i="1" s="1"/>
  <c r="AE156" i="9"/>
  <c r="AS35" i="1"/>
  <c r="AS32" i="1"/>
  <c r="AP32" i="1" s="1"/>
  <c r="AN37" i="1"/>
  <c r="AN20" i="1"/>
  <c r="AO20" i="1" s="1"/>
  <c r="AN36" i="1"/>
  <c r="AO36" i="1" s="1"/>
  <c r="K140" i="9" a="1"/>
  <c r="K140" i="9" s="1"/>
  <c r="AL140" i="9" a="1"/>
  <c r="AL140" i="9" s="1"/>
  <c r="N140" i="9" a="1"/>
  <c r="N140" i="9" s="1"/>
  <c r="AS38" i="1"/>
  <c r="AP38" i="1" s="1"/>
  <c r="W140" i="9" a="1"/>
  <c r="W140" i="9" s="1"/>
  <c r="AL165" i="9" a="1"/>
  <c r="AL165" i="9" s="1"/>
  <c r="AN19" i="1"/>
  <c r="AO19" i="1" s="1"/>
  <c r="AS20" i="1"/>
  <c r="N146" i="9" a="1"/>
  <c r="N146" i="9" s="1"/>
  <c r="Z161" i="9" a="1"/>
  <c r="Z161" i="9" s="1"/>
  <c r="Z165" i="9" a="1"/>
  <c r="Z165" i="9" s="1"/>
  <c r="AP165" i="9"/>
  <c r="AV165" i="9" s="1"/>
  <c r="AS19" i="1"/>
  <c r="Z150" i="9" a="1"/>
  <c r="Z150" i="9" s="1"/>
  <c r="AP153" i="9"/>
  <c r="AV153" i="9" s="1"/>
  <c r="N165" i="9" a="1"/>
  <c r="N165" i="9" s="1"/>
  <c r="N173" i="9" a="1"/>
  <c r="N173" i="9" s="1"/>
  <c r="Q142" i="9" a="1"/>
  <c r="Q142" i="9" s="1"/>
  <c r="N145" i="9" a="1"/>
  <c r="N145" i="9" s="1"/>
  <c r="N153" i="9" a="1"/>
  <c r="N153" i="9" s="1"/>
  <c r="Q154" i="9" a="1"/>
  <c r="Q154" i="9" s="1"/>
  <c r="AS21" i="1"/>
  <c r="AP143" i="9"/>
  <c r="AV143" i="9" s="1"/>
  <c r="W143" i="9" a="1"/>
  <c r="W143" i="9" s="1"/>
  <c r="T147" i="9" a="1"/>
  <c r="T147" i="9" s="1"/>
  <c r="AI147" i="9" a="1"/>
  <c r="AI147" i="9" s="1"/>
  <c r="Q151" i="9" a="1"/>
  <c r="Q151" i="9" s="1"/>
  <c r="AF151" i="9" a="1"/>
  <c r="AF151" i="9" s="1"/>
  <c r="AF171" i="9" a="1"/>
  <c r="AF171" i="9" s="1"/>
  <c r="Q171" i="9" a="1"/>
  <c r="Q171" i="9" s="1"/>
  <c r="AN21" i="1"/>
  <c r="AO21" i="1" s="1"/>
  <c r="K143" i="9" a="1"/>
  <c r="K143" i="9" s="1"/>
  <c r="AF143" i="9" a="1"/>
  <c r="AF143" i="9" s="1"/>
  <c r="AL147" i="9" a="1"/>
  <c r="AL147" i="9" s="1"/>
  <c r="W147" i="9" a="1"/>
  <c r="W147" i="9" s="1"/>
  <c r="T151" i="9" a="1"/>
  <c r="T151" i="9" s="1"/>
  <c r="AI151" i="9" a="1"/>
  <c r="AI151" i="9" s="1"/>
  <c r="T143" i="9" a="1"/>
  <c r="T143" i="9" s="1"/>
  <c r="K147" i="9" a="1"/>
  <c r="K147" i="9" s="1"/>
  <c r="AC147" i="9" a="1"/>
  <c r="AC147" i="9" s="1"/>
  <c r="AL151" i="9" a="1"/>
  <c r="AL151" i="9" s="1"/>
  <c r="W151" i="9" a="1"/>
  <c r="W151" i="9" s="1"/>
  <c r="AN18" i="1"/>
  <c r="AO18" i="1" s="1"/>
  <c r="AU165" i="9"/>
  <c r="AS18" i="1"/>
  <c r="AU173" i="9"/>
  <c r="AU160" i="9"/>
  <c r="V156" i="9"/>
  <c r="M156" i="9"/>
  <c r="AU170" i="9"/>
  <c r="AU167" i="9"/>
  <c r="AU162" i="9"/>
  <c r="AU159" i="9"/>
  <c r="AB156" i="9"/>
  <c r="AU168" i="9"/>
  <c r="AK156" i="9"/>
  <c r="S156" i="9"/>
  <c r="AU161" i="9"/>
  <c r="P156" i="9"/>
  <c r="AU172" i="9"/>
  <c r="AU169" i="9"/>
  <c r="AU164" i="9"/>
  <c r="Y156" i="9"/>
  <c r="AU171" i="9"/>
  <c r="AU174" i="9"/>
  <c r="AU166" i="9"/>
  <c r="AU163" i="9"/>
  <c r="AL162" i="9" a="1"/>
  <c r="AL162" i="9" s="1"/>
  <c r="AF162" i="9" a="1"/>
  <c r="AF162" i="9" s="1"/>
  <c r="AF166" i="9" a="1"/>
  <c r="AF166" i="9" s="1"/>
  <c r="N174" i="9" a="1"/>
  <c r="N174" i="9" s="1"/>
  <c r="AL158" i="9" a="1"/>
  <c r="AL158" i="9" s="1"/>
  <c r="T162" i="9" a="1"/>
  <c r="T162" i="9" s="1"/>
  <c r="AI162" i="9" a="1"/>
  <c r="AI162" i="9" s="1"/>
  <c r="N166" i="9" a="1"/>
  <c r="N166" i="9" s="1"/>
  <c r="K162" i="9" a="1"/>
  <c r="K162" i="9" s="1"/>
  <c r="W162" i="9" a="1"/>
  <c r="W162" i="9" s="1"/>
  <c r="AU158" i="9"/>
  <c r="AI158" i="9" a="1"/>
  <c r="AI158" i="9" s="1"/>
  <c r="AO156" i="9"/>
  <c r="AF158" i="9" a="1"/>
  <c r="AF158" i="9" s="1"/>
  <c r="T158" i="9" a="1"/>
  <c r="T158" i="9" s="1"/>
  <c r="W158" i="9" a="1"/>
  <c r="W158" i="9" s="1"/>
  <c r="K158" i="9" a="1"/>
  <c r="K158" i="9" s="1"/>
  <c r="AP158" i="9"/>
  <c r="AC158" i="9" a="1"/>
  <c r="AC158" i="9" s="1"/>
  <c r="Y136" i="9"/>
  <c r="AU145" i="9"/>
  <c r="AU153" i="9"/>
  <c r="AU148" i="9"/>
  <c r="AU140" i="9"/>
  <c r="AK136" i="9"/>
  <c r="AB136" i="9"/>
  <c r="AU147" i="9"/>
  <c r="P136" i="9"/>
  <c r="M136" i="9"/>
  <c r="AU150" i="9"/>
  <c r="AU142" i="9"/>
  <c r="AU139" i="9"/>
  <c r="AH136" i="9"/>
  <c r="AE136" i="9"/>
  <c r="V136" i="9"/>
  <c r="S136" i="9"/>
  <c r="AU152" i="9"/>
  <c r="AU149" i="9"/>
  <c r="AU144" i="9"/>
  <c r="AU141" i="9"/>
  <c r="AU151" i="9"/>
  <c r="AU154" i="9"/>
  <c r="AU146" i="9"/>
  <c r="AU143" i="9"/>
  <c r="AL142" i="9" a="1"/>
  <c r="AL142" i="9" s="1"/>
  <c r="T142" i="9" a="1"/>
  <c r="T142" i="9" s="1"/>
  <c r="AI142" i="9" a="1"/>
  <c r="AI142" i="9" s="1"/>
  <c r="T154" i="9" a="1"/>
  <c r="T154" i="9" s="1"/>
  <c r="N138" i="9" a="1"/>
  <c r="N138" i="9" s="1"/>
  <c r="Q141" i="9" a="1"/>
  <c r="Q141" i="9" s="1"/>
  <c r="W142" i="9" a="1"/>
  <c r="W142" i="9" s="1"/>
  <c r="AP142" i="9"/>
  <c r="AV142" i="9" s="1"/>
  <c r="Q145" i="9" a="1"/>
  <c r="Q145" i="9" s="1"/>
  <c r="AP145" i="9"/>
  <c r="AV145" i="9" s="1"/>
  <c r="Z146" i="9" a="1"/>
  <c r="Z146" i="9" s="1"/>
  <c r="Z149" i="9" a="1"/>
  <c r="Z149" i="9" s="1"/>
  <c r="N150" i="9" a="1"/>
  <c r="N150" i="9" s="1"/>
  <c r="AC153" i="9" a="1"/>
  <c r="AC153" i="9" s="1"/>
  <c r="AL154" i="9" a="1"/>
  <c r="AL154" i="9" s="1"/>
  <c r="Z154" i="9" a="1"/>
  <c r="Z154" i="9" s="1"/>
  <c r="AL138" i="9" a="1"/>
  <c r="AL138" i="9" s="1"/>
  <c r="Z138" i="9" a="1"/>
  <c r="Z138" i="9" s="1"/>
  <c r="Q146" i="9" a="1"/>
  <c r="Q146" i="9" s="1"/>
  <c r="AP154" i="9"/>
  <c r="AV154" i="9" s="1"/>
  <c r="K142" i="9" a="1"/>
  <c r="K142" i="9" s="1"/>
  <c r="K153" i="9" a="1"/>
  <c r="K153" i="9" s="1"/>
  <c r="AU138" i="9"/>
  <c r="AI138" i="9" a="1"/>
  <c r="AI138" i="9" s="1"/>
  <c r="W138" i="9" a="1"/>
  <c r="W138" i="9" s="1"/>
  <c r="K138" i="9" a="1"/>
  <c r="K138" i="9" s="1"/>
  <c r="AO136" i="9"/>
  <c r="AF138" i="9" a="1"/>
  <c r="AF138" i="9" s="1"/>
  <c r="T138" i="9" a="1"/>
  <c r="T138" i="9" s="1"/>
  <c r="AP138" i="9"/>
  <c r="AC138" i="9" a="1"/>
  <c r="AC138" i="9" s="1"/>
  <c r="J156" i="9"/>
  <c r="AF160" i="9" a="1"/>
  <c r="AF160" i="9" s="1"/>
  <c r="T160" i="9" a="1"/>
  <c r="T160" i="9" s="1"/>
  <c r="AP160" i="9"/>
  <c r="AV160" i="9" s="1"/>
  <c r="AC160" i="9" a="1"/>
  <c r="AC160" i="9" s="1"/>
  <c r="Q160" i="9" a="1"/>
  <c r="Q160" i="9" s="1"/>
  <c r="W160" i="9" a="1"/>
  <c r="W160" i="9" s="1"/>
  <c r="W169" i="9" a="1"/>
  <c r="W169" i="9" s="1"/>
  <c r="AP159" i="9"/>
  <c r="AV159" i="9" s="1"/>
  <c r="AC159" i="9" a="1"/>
  <c r="AC159" i="9" s="1"/>
  <c r="Q159" i="9" a="1"/>
  <c r="Q159" i="9" s="1"/>
  <c r="N159" i="9" a="1"/>
  <c r="N159" i="9" s="1"/>
  <c r="W159" i="9" a="1"/>
  <c r="W159" i="9" s="1"/>
  <c r="AF159" i="9" a="1"/>
  <c r="AF159" i="9" s="1"/>
  <c r="Z160" i="9" a="1"/>
  <c r="Z160" i="9" s="1"/>
  <c r="AF164" i="9" a="1"/>
  <c r="AF164" i="9" s="1"/>
  <c r="T164" i="9" a="1"/>
  <c r="T164" i="9" s="1"/>
  <c r="AP164" i="9"/>
  <c r="AV164" i="9" s="1"/>
  <c r="AC164" i="9" a="1"/>
  <c r="AC164" i="9" s="1"/>
  <c r="Q164" i="9" a="1"/>
  <c r="Q164" i="9" s="1"/>
  <c r="W164" i="9" a="1"/>
  <c r="W164" i="9" s="1"/>
  <c r="AP168" i="9"/>
  <c r="AV168" i="9" s="1"/>
  <c r="AC168" i="9" a="1"/>
  <c r="AC168" i="9" s="1"/>
  <c r="Q168" i="9" a="1"/>
  <c r="Q168" i="9" s="1"/>
  <c r="AL168" i="9" a="1"/>
  <c r="AL168" i="9" s="1"/>
  <c r="AI168" i="9" a="1"/>
  <c r="AI168" i="9" s="1"/>
  <c r="Z168" i="9" a="1"/>
  <c r="Z168" i="9" s="1"/>
  <c r="N168" i="9" a="1"/>
  <c r="N168" i="9" s="1"/>
  <c r="W168" i="9" a="1"/>
  <c r="W168" i="9" s="1"/>
  <c r="Z159" i="9" a="1"/>
  <c r="Z159" i="9" s="1"/>
  <c r="AI159" i="9" a="1"/>
  <c r="AI159" i="9" s="1"/>
  <c r="K160" i="9" a="1"/>
  <c r="K160" i="9" s="1"/>
  <c r="AI160" i="9" a="1"/>
  <c r="AI160" i="9" s="1"/>
  <c r="AI161" i="9" a="1"/>
  <c r="AI161" i="9" s="1"/>
  <c r="W161" i="9" a="1"/>
  <c r="W161" i="9" s="1"/>
  <c r="K161" i="9" a="1"/>
  <c r="K161" i="9" s="1"/>
  <c r="AF161" i="9" a="1"/>
  <c r="AF161" i="9" s="1"/>
  <c r="T161" i="9" a="1"/>
  <c r="T161" i="9" s="1"/>
  <c r="AC161" i="9" a="1"/>
  <c r="AC161" i="9" s="1"/>
  <c r="Z164" i="9" a="1"/>
  <c r="Z164" i="9" s="1"/>
  <c r="AF169" i="9" a="1"/>
  <c r="AF169" i="9" s="1"/>
  <c r="T169" i="9" a="1"/>
  <c r="T169" i="9" s="1"/>
  <c r="AP169" i="9"/>
  <c r="AV169" i="9" s="1"/>
  <c r="AC169" i="9" a="1"/>
  <c r="AC169" i="9" s="1"/>
  <c r="Q169" i="9" a="1"/>
  <c r="Q169" i="9" s="1"/>
  <c r="AL169" i="9" a="1"/>
  <c r="AL169" i="9" s="1"/>
  <c r="N169" i="9" a="1"/>
  <c r="N169" i="9" s="1"/>
  <c r="AI169" i="9" a="1"/>
  <c r="AI169" i="9" s="1"/>
  <c r="K169" i="9" a="1"/>
  <c r="K169" i="9" s="1"/>
  <c r="AL159" i="9" a="1"/>
  <c r="AL159" i="9" s="1"/>
  <c r="N160" i="9" a="1"/>
  <c r="N160" i="9" s="1"/>
  <c r="AL160" i="9" a="1"/>
  <c r="AL160" i="9" s="1"/>
  <c r="AL161" i="9" a="1"/>
  <c r="AL161" i="9" s="1"/>
  <c r="AP161" i="9"/>
  <c r="AV161" i="9" s="1"/>
  <c r="K164" i="9" a="1"/>
  <c r="K164" i="9" s="1"/>
  <c r="AI164" i="9" a="1"/>
  <c r="AI164" i="9" s="1"/>
  <c r="AI165" i="9" a="1"/>
  <c r="AI165" i="9" s="1"/>
  <c r="W165" i="9" a="1"/>
  <c r="W165" i="9" s="1"/>
  <c r="K165" i="9" a="1"/>
  <c r="K165" i="9" s="1"/>
  <c r="AF165" i="9" a="1"/>
  <c r="AF165" i="9" s="1"/>
  <c r="T165" i="9" a="1"/>
  <c r="T165" i="9" s="1"/>
  <c r="AC165" i="9" a="1"/>
  <c r="AC165" i="9" s="1"/>
  <c r="K168" i="9" a="1"/>
  <c r="K168" i="9" s="1"/>
  <c r="T168" i="9" a="1"/>
  <c r="T168" i="9" s="1"/>
  <c r="AF173" i="9" a="1"/>
  <c r="AF173" i="9" s="1"/>
  <c r="T173" i="9" a="1"/>
  <c r="T173" i="9" s="1"/>
  <c r="AP173" i="9"/>
  <c r="AV173" i="9" s="1"/>
  <c r="AC173" i="9" a="1"/>
  <c r="AC173" i="9" s="1"/>
  <c r="Q173" i="9" a="1"/>
  <c r="Q173" i="9" s="1"/>
  <c r="W173" i="9" a="1"/>
  <c r="W173" i="9" s="1"/>
  <c r="N163" i="9" a="1"/>
  <c r="N163" i="9" s="1"/>
  <c r="Z163" i="9" a="1"/>
  <c r="Z163" i="9" s="1"/>
  <c r="AL163" i="9" a="1"/>
  <c r="AL163" i="9" s="1"/>
  <c r="AI170" i="9" a="1"/>
  <c r="AI170" i="9" s="1"/>
  <c r="W170" i="9" a="1"/>
  <c r="W170" i="9" s="1"/>
  <c r="K170" i="9" a="1"/>
  <c r="K170" i="9" s="1"/>
  <c r="AF170" i="9" a="1"/>
  <c r="AF170" i="9" s="1"/>
  <c r="T170" i="9" a="1"/>
  <c r="T170" i="9" s="1"/>
  <c r="AC170" i="9" a="1"/>
  <c r="AC170" i="9" s="1"/>
  <c r="Z173" i="9" a="1"/>
  <c r="Z173" i="9" s="1"/>
  <c r="N162" i="9" a="1"/>
  <c r="N162" i="9" s="1"/>
  <c r="Z162" i="9" a="1"/>
  <c r="Z162" i="9" s="1"/>
  <c r="Q163" i="9" a="1"/>
  <c r="Q163" i="9" s="1"/>
  <c r="AC163" i="9" a="1"/>
  <c r="AC163" i="9" s="1"/>
  <c r="AI166" i="9" a="1"/>
  <c r="AI166" i="9" s="1"/>
  <c r="W166" i="9" a="1"/>
  <c r="W166" i="9" s="1"/>
  <c r="K166" i="9" a="1"/>
  <c r="K166" i="9" s="1"/>
  <c r="T166" i="9" a="1"/>
  <c r="T166" i="9" s="1"/>
  <c r="AC166" i="9" a="1"/>
  <c r="AC166" i="9" s="1"/>
  <c r="AL166" i="9" a="1"/>
  <c r="AL166" i="9" s="1"/>
  <c r="AP166" i="9"/>
  <c r="AV166" i="9" s="1"/>
  <c r="N170" i="9" a="1"/>
  <c r="N170" i="9" s="1"/>
  <c r="AL170" i="9" a="1"/>
  <c r="AL170" i="9" s="1"/>
  <c r="AP170" i="9"/>
  <c r="AV170" i="9" s="1"/>
  <c r="K173" i="9" a="1"/>
  <c r="K173" i="9" s="1"/>
  <c r="AI173" i="9" a="1"/>
  <c r="AI173" i="9" s="1"/>
  <c r="AI174" i="9" a="1"/>
  <c r="AI174" i="9" s="1"/>
  <c r="W174" i="9" a="1"/>
  <c r="W174" i="9" s="1"/>
  <c r="K174" i="9" a="1"/>
  <c r="K174" i="9" s="1"/>
  <c r="AF174" i="9" a="1"/>
  <c r="AF174" i="9" s="1"/>
  <c r="T174" i="9" a="1"/>
  <c r="T174" i="9" s="1"/>
  <c r="AP174" i="9"/>
  <c r="AV174" i="9" s="1"/>
  <c r="AC174" i="9" a="1"/>
  <c r="AC174" i="9" s="1"/>
  <c r="Q174" i="9" a="1"/>
  <c r="Q174" i="9" s="1"/>
  <c r="AL174" i="9" a="1"/>
  <c r="AL174" i="9" s="1"/>
  <c r="N172" i="9" a="1"/>
  <c r="N172" i="9" s="1"/>
  <c r="Z172" i="9" a="1"/>
  <c r="Z172" i="9" s="1"/>
  <c r="AL172" i="9" a="1"/>
  <c r="AL172" i="9" s="1"/>
  <c r="N167" i="9" a="1"/>
  <c r="N167" i="9" s="1"/>
  <c r="Z167" i="9" a="1"/>
  <c r="Z167" i="9" s="1"/>
  <c r="N171" i="9" a="1"/>
  <c r="N171" i="9" s="1"/>
  <c r="Z171" i="9" a="1"/>
  <c r="Z171" i="9" s="1"/>
  <c r="Q172" i="9" a="1"/>
  <c r="Q172" i="9" s="1"/>
  <c r="AC172" i="9" a="1"/>
  <c r="AC172" i="9" s="1"/>
  <c r="W139" i="9" a="1"/>
  <c r="W139" i="9" s="1"/>
  <c r="AF144" i="9" a="1"/>
  <c r="AF144" i="9" s="1"/>
  <c r="T144" i="9" a="1"/>
  <c r="T144" i="9" s="1"/>
  <c r="AP144" i="9"/>
  <c r="AV144" i="9" s="1"/>
  <c r="AC144" i="9" a="1"/>
  <c r="AC144" i="9" s="1"/>
  <c r="Q144" i="9" a="1"/>
  <c r="Q144" i="9" s="1"/>
  <c r="AP139" i="9"/>
  <c r="AV139" i="9" s="1"/>
  <c r="AC139" i="9" a="1"/>
  <c r="AC139" i="9" s="1"/>
  <c r="Q139" i="9" a="1"/>
  <c r="Q139" i="9" s="1"/>
  <c r="Z139" i="9" a="1"/>
  <c r="Z139" i="9" s="1"/>
  <c r="AI141" i="9" a="1"/>
  <c r="AI141" i="9" s="1"/>
  <c r="W141" i="9" a="1"/>
  <c r="W141" i="9" s="1"/>
  <c r="K141" i="9" a="1"/>
  <c r="K141" i="9" s="1"/>
  <c r="AF141" i="9" a="1"/>
  <c r="AF141" i="9" s="1"/>
  <c r="AF152" i="9" a="1"/>
  <c r="AF152" i="9" s="1"/>
  <c r="J136" i="9"/>
  <c r="AL139" i="9" a="1"/>
  <c r="AL139" i="9" s="1"/>
  <c r="AL141" i="9" a="1"/>
  <c r="AL141" i="9" s="1"/>
  <c r="AP141" i="9"/>
  <c r="AV141" i="9" s="1"/>
  <c r="K144" i="9" a="1"/>
  <c r="K144" i="9" s="1"/>
  <c r="AI144" i="9" a="1"/>
  <c r="AI144" i="9" s="1"/>
  <c r="AI145" i="9" a="1"/>
  <c r="AI145" i="9" s="1"/>
  <c r="W145" i="9" a="1"/>
  <c r="W145" i="9" s="1"/>
  <c r="K145" i="9" a="1"/>
  <c r="K145" i="9" s="1"/>
  <c r="AF145" i="9" a="1"/>
  <c r="AF145" i="9" s="1"/>
  <c r="T145" i="9" a="1"/>
  <c r="T145" i="9" s="1"/>
  <c r="AC145" i="9" a="1"/>
  <c r="AC145" i="9" s="1"/>
  <c r="K148" i="9" a="1"/>
  <c r="K148" i="9" s="1"/>
  <c r="AC149" i="9" a="1"/>
  <c r="AC149" i="9" s="1"/>
  <c r="Z152" i="9" a="1"/>
  <c r="Z152" i="9" s="1"/>
  <c r="N139" i="9" a="1"/>
  <c r="N139" i="9" s="1"/>
  <c r="AF139" i="9" a="1"/>
  <c r="AF139" i="9" s="1"/>
  <c r="W144" i="9" a="1"/>
  <c r="W144" i="9" s="1"/>
  <c r="T141" i="9" a="1"/>
  <c r="T141" i="9" s="1"/>
  <c r="Z144" i="9" a="1"/>
  <c r="Z144" i="9" s="1"/>
  <c r="AP152" i="9"/>
  <c r="AV152" i="9" s="1"/>
  <c r="AC152" i="9" a="1"/>
  <c r="AC152" i="9" s="1"/>
  <c r="Q152" i="9" a="1"/>
  <c r="Q152" i="9" s="1"/>
  <c r="T152" i="9" a="1"/>
  <c r="T152" i="9" s="1"/>
  <c r="K152" i="9" a="1"/>
  <c r="K152" i="9" s="1"/>
  <c r="AL152" i="9" a="1"/>
  <c r="AL152" i="9" s="1"/>
  <c r="W152" i="9" a="1"/>
  <c r="W152" i="9" s="1"/>
  <c r="K139" i="9" a="1"/>
  <c r="K139" i="9" s="1"/>
  <c r="T139" i="9" a="1"/>
  <c r="T139" i="9" s="1"/>
  <c r="AF140" i="9" a="1"/>
  <c r="AF140" i="9" s="1"/>
  <c r="T140" i="9" a="1"/>
  <c r="T140" i="9" s="1"/>
  <c r="Q140" i="9" a="1"/>
  <c r="Q140" i="9" s="1"/>
  <c r="Z140" i="9" a="1"/>
  <c r="Z140" i="9" s="1"/>
  <c r="AI140" i="9" a="1"/>
  <c r="AI140" i="9" s="1"/>
  <c r="N141" i="9" a="1"/>
  <c r="N141" i="9" s="1"/>
  <c r="N144" i="9" a="1"/>
  <c r="N144" i="9" s="1"/>
  <c r="AL144" i="9" a="1"/>
  <c r="AL144" i="9" s="1"/>
  <c r="AP148" i="9"/>
  <c r="AV148" i="9" s="1"/>
  <c r="AC148" i="9" a="1"/>
  <c r="AC148" i="9" s="1"/>
  <c r="Q148" i="9" a="1"/>
  <c r="Q148" i="9" s="1"/>
  <c r="AL148" i="9" a="1"/>
  <c r="AL148" i="9" s="1"/>
  <c r="AI148" i="9" a="1"/>
  <c r="AI148" i="9" s="1"/>
  <c r="Z148" i="9" a="1"/>
  <c r="Z148" i="9" s="1"/>
  <c r="N148" i="9" a="1"/>
  <c r="N148" i="9" s="1"/>
  <c r="W148" i="9" a="1"/>
  <c r="W148" i="9" s="1"/>
  <c r="AF149" i="9" a="1"/>
  <c r="AF149" i="9" s="1"/>
  <c r="T149" i="9" a="1"/>
  <c r="T149" i="9" s="1"/>
  <c r="W149" i="9" a="1"/>
  <c r="W149" i="9" s="1"/>
  <c r="N149" i="9" a="1"/>
  <c r="N149" i="9" s="1"/>
  <c r="AP149" i="9"/>
  <c r="AV149" i="9" s="1"/>
  <c r="K149" i="9" a="1"/>
  <c r="K149" i="9" s="1"/>
  <c r="Q149" i="9" a="1"/>
  <c r="Q149" i="9" s="1"/>
  <c r="N152" i="9" a="1"/>
  <c r="N152" i="9" s="1"/>
  <c r="AI154" i="9" a="1"/>
  <c r="AI154" i="9" s="1"/>
  <c r="W154" i="9" a="1"/>
  <c r="W154" i="9" s="1"/>
  <c r="K154" i="9" a="1"/>
  <c r="K154" i="9" s="1"/>
  <c r="N154" i="9" a="1"/>
  <c r="N154" i="9" s="1"/>
  <c r="AF154" i="9" a="1"/>
  <c r="AF154" i="9" s="1"/>
  <c r="N143" i="9" a="1"/>
  <c r="N143" i="9" s="1"/>
  <c r="Z143" i="9" a="1"/>
  <c r="Z143" i="9" s="1"/>
  <c r="AL143" i="9" a="1"/>
  <c r="AL143" i="9" s="1"/>
  <c r="AI150" i="9" a="1"/>
  <c r="AI150" i="9" s="1"/>
  <c r="W150" i="9" a="1"/>
  <c r="W150" i="9" s="1"/>
  <c r="K150" i="9" a="1"/>
  <c r="K150" i="9" s="1"/>
  <c r="T150" i="9" a="1"/>
  <c r="T150" i="9" s="1"/>
  <c r="AC150" i="9" a="1"/>
  <c r="AC150" i="9" s="1"/>
  <c r="AL150" i="9" a="1"/>
  <c r="AL150" i="9" s="1"/>
  <c r="AP150" i="9"/>
  <c r="AV150" i="9" s="1"/>
  <c r="N142" i="9" a="1"/>
  <c r="N142" i="9" s="1"/>
  <c r="Z142" i="9" a="1"/>
  <c r="Z142" i="9" s="1"/>
  <c r="Q143" i="9" a="1"/>
  <c r="Q143" i="9" s="1"/>
  <c r="AC143" i="9" a="1"/>
  <c r="AC143" i="9" s="1"/>
  <c r="AI146" i="9" a="1"/>
  <c r="AI146" i="9" s="1"/>
  <c r="W146" i="9" a="1"/>
  <c r="W146" i="9" s="1"/>
  <c r="K146" i="9" a="1"/>
  <c r="K146" i="9" s="1"/>
  <c r="T146" i="9" a="1"/>
  <c r="T146" i="9" s="1"/>
  <c r="AC146" i="9" a="1"/>
  <c r="AC146" i="9" s="1"/>
  <c r="AL146" i="9" a="1"/>
  <c r="AL146" i="9" s="1"/>
  <c r="AP146" i="9"/>
  <c r="AV146" i="9" s="1"/>
  <c r="AF150" i="9" a="1"/>
  <c r="AF150" i="9" s="1"/>
  <c r="AF153" i="9" a="1"/>
  <c r="AF153" i="9" s="1"/>
  <c r="T153" i="9" a="1"/>
  <c r="T153" i="9" s="1"/>
  <c r="Q153" i="9" a="1"/>
  <c r="Q153" i="9" s="1"/>
  <c r="Z153" i="9" a="1"/>
  <c r="Z153" i="9" s="1"/>
  <c r="AI153" i="9" a="1"/>
  <c r="AI153" i="9" s="1"/>
  <c r="N147" i="9" a="1"/>
  <c r="N147" i="9" s="1"/>
  <c r="Z147" i="9" a="1"/>
  <c r="Z147" i="9" s="1"/>
  <c r="N151" i="9" a="1"/>
  <c r="N151" i="9" s="1"/>
  <c r="Z151" i="9" a="1"/>
  <c r="Z151" i="9" s="1"/>
  <c r="Q67" i="9" a="1"/>
  <c r="Q67" i="9" s="1"/>
  <c r="AF54" i="9" a="1"/>
  <c r="AF54" i="9" s="1"/>
  <c r="AU61" i="9"/>
  <c r="Q60" i="9" a="1"/>
  <c r="Q60" i="9" s="1"/>
  <c r="AC58" i="9" a="1"/>
  <c r="AC58" i="9" s="1"/>
  <c r="AC62" i="9" a="1"/>
  <c r="AC62" i="9" s="1"/>
  <c r="AL53" i="9" a="1"/>
  <c r="AL53" i="9" s="1"/>
  <c r="W53" i="9" a="1"/>
  <c r="W53" i="9" s="1"/>
  <c r="Q62" i="9" a="1"/>
  <c r="Q62" i="9" s="1"/>
  <c r="K68" i="9" a="1"/>
  <c r="K68" i="9" s="1"/>
  <c r="AI61" i="9" a="1"/>
  <c r="AI61" i="9" s="1"/>
  <c r="W55" i="9" a="1"/>
  <c r="W55" i="9" s="1"/>
  <c r="AL68" i="9" a="1"/>
  <c r="AL68" i="9" s="1"/>
  <c r="T67" i="9" a="1"/>
  <c r="T67" i="9" s="1"/>
  <c r="K55" i="9" a="1"/>
  <c r="K55" i="9" s="1"/>
  <c r="K61" i="9" a="1"/>
  <c r="K61" i="9" s="1"/>
  <c r="N68" i="9" a="1"/>
  <c r="N68" i="9" s="1"/>
  <c r="AL61" i="9" a="1"/>
  <c r="AL61" i="9" s="1"/>
  <c r="AC67" i="9" a="1"/>
  <c r="AC67" i="9" s="1"/>
  <c r="W61" i="9" a="1"/>
  <c r="W61" i="9" s="1"/>
  <c r="AC60" i="9" a="1"/>
  <c r="AC60" i="9" s="1"/>
  <c r="T54" i="9" a="1"/>
  <c r="T54" i="9" s="1"/>
  <c r="Z53" i="9" a="1"/>
  <c r="Z53" i="9" s="1"/>
  <c r="AI68" i="9" a="1"/>
  <c r="AI68" i="9" s="1"/>
  <c r="AU68" i="9"/>
  <c r="Z68" i="9" a="1"/>
  <c r="Z68" i="9" s="1"/>
  <c r="AF67" i="9" a="1"/>
  <c r="AF67" i="9" s="1"/>
  <c r="AU67" i="9"/>
  <c r="Z61" i="9" a="1"/>
  <c r="Z61" i="9" s="1"/>
  <c r="AF60" i="9" a="1"/>
  <c r="AF60" i="9" s="1"/>
  <c r="AU60" i="9"/>
  <c r="AI55" i="9" a="1"/>
  <c r="AI55" i="9" s="1"/>
  <c r="AC54" i="9" a="1"/>
  <c r="AC54" i="9" s="1"/>
  <c r="AI53" i="9" a="1"/>
  <c r="AI53" i="9" s="1"/>
  <c r="AF62" i="9" a="1"/>
  <c r="AF62" i="9" s="1"/>
  <c r="AF58" i="9" a="1"/>
  <c r="AF58" i="9" s="1"/>
  <c r="AL55" i="9" a="1"/>
  <c r="AL55" i="9" s="1"/>
  <c r="K52" i="9" a="1"/>
  <c r="K52" i="9" s="1"/>
  <c r="T52" i="9" a="1"/>
  <c r="T52" i="9" s="1"/>
  <c r="W52" i="9" a="1"/>
  <c r="W52" i="9" s="1"/>
  <c r="Z52" i="9" a="1"/>
  <c r="Z52" i="9" s="1"/>
  <c r="AC52" i="9" a="1"/>
  <c r="AC52" i="9" s="1"/>
  <c r="AF52" i="9" a="1"/>
  <c r="AF52" i="9" s="1"/>
  <c r="AI52" i="9" a="1"/>
  <c r="AI52" i="9" s="1"/>
  <c r="AL52" i="9" a="1"/>
  <c r="AL52" i="9" s="1"/>
  <c r="AI63" i="9" a="1"/>
  <c r="AI63" i="9" s="1"/>
  <c r="K51" i="9" a="1"/>
  <c r="K51" i="9" s="1"/>
  <c r="Q51" i="9" a="1"/>
  <c r="Q51" i="9" s="1"/>
  <c r="T51" i="9" a="1"/>
  <c r="T51" i="9" s="1"/>
  <c r="W51" i="9" a="1"/>
  <c r="W51" i="9" s="1"/>
  <c r="Z51" i="9" a="1"/>
  <c r="Z51" i="9" s="1"/>
  <c r="AC51" i="9" a="1"/>
  <c r="AC51" i="9" s="1"/>
  <c r="AF51" i="9" a="1"/>
  <c r="AF51" i="9" s="1"/>
  <c r="AI51" i="9" a="1"/>
  <c r="AI51" i="9" s="1"/>
  <c r="AL51" i="9" a="1"/>
  <c r="AL51" i="9" s="1"/>
  <c r="AL63" i="9" a="1"/>
  <c r="AL63" i="9" s="1"/>
  <c r="T56" i="9" a="1"/>
  <c r="T56" i="9" s="1"/>
  <c r="N55" i="9" a="1"/>
  <c r="N55" i="9" s="1"/>
  <c r="AC68" i="9" a="1"/>
  <c r="AC68" i="9" s="1"/>
  <c r="Q68" i="9" a="1"/>
  <c r="Q68" i="9" s="1"/>
  <c r="AI67" i="9" a="1"/>
  <c r="AI67" i="9" s="1"/>
  <c r="K67" i="9" a="1"/>
  <c r="K67" i="9" s="1"/>
  <c r="AC63" i="9" a="1"/>
  <c r="AC63" i="9" s="1"/>
  <c r="Q63" i="9" a="1"/>
  <c r="Q63" i="9" s="1"/>
  <c r="AI62" i="9" a="1"/>
  <c r="AI62" i="9" s="1"/>
  <c r="W62" i="9" a="1"/>
  <c r="W62" i="9" s="1"/>
  <c r="K62" i="9" a="1"/>
  <c r="K62" i="9" s="1"/>
  <c r="AC61" i="9" a="1"/>
  <c r="AC61" i="9" s="1"/>
  <c r="Q61" i="9" a="1"/>
  <c r="Q61" i="9" s="1"/>
  <c r="AI60" i="9" a="1"/>
  <c r="AI60" i="9" s="1"/>
  <c r="W60" i="9" a="1"/>
  <c r="W60" i="9" s="1"/>
  <c r="K60" i="9" a="1"/>
  <c r="K60" i="9" s="1"/>
  <c r="AC59" i="9" a="1"/>
  <c r="AC59" i="9" s="1"/>
  <c r="AI58" i="9" a="1"/>
  <c r="AI58" i="9" s="1"/>
  <c r="W58" i="9" a="1"/>
  <c r="W58" i="9" s="1"/>
  <c r="K58" i="9" a="1"/>
  <c r="K58" i="9" s="1"/>
  <c r="AI56" i="9" a="1"/>
  <c r="AI56" i="9" s="1"/>
  <c r="W56" i="9" a="1"/>
  <c r="W56" i="9" s="1"/>
  <c r="K56" i="9" a="1"/>
  <c r="K56" i="9" s="1"/>
  <c r="AC55" i="9" a="1"/>
  <c r="AC55" i="9" s="1"/>
  <c r="AI54" i="9" a="1"/>
  <c r="AI54" i="9" s="1"/>
  <c r="W54" i="9" a="1"/>
  <c r="W54" i="9" s="1"/>
  <c r="K54" i="9" a="1"/>
  <c r="K54" i="9" s="1"/>
  <c r="AC53" i="9" a="1"/>
  <c r="AC53" i="9" s="1"/>
  <c r="N48" i="9" a="1"/>
  <c r="N48" i="9" s="1"/>
  <c r="Q48" i="9" a="1"/>
  <c r="Q48" i="9" s="1"/>
  <c r="T48" i="9" a="1"/>
  <c r="T48" i="9" s="1"/>
  <c r="W48" i="9" a="1"/>
  <c r="W48" i="9" s="1"/>
  <c r="Z48" i="9" a="1"/>
  <c r="Z48" i="9" s="1"/>
  <c r="AC48" i="9" a="1"/>
  <c r="AC48" i="9" s="1"/>
  <c r="AF48" i="9" a="1"/>
  <c r="AF48" i="9" s="1"/>
  <c r="AI48" i="9" a="1"/>
  <c r="AI48" i="9" s="1"/>
  <c r="AL48" i="9" a="1"/>
  <c r="AL48" i="9" s="1"/>
  <c r="W63" i="9" a="1"/>
  <c r="W63" i="9" s="1"/>
  <c r="K63" i="9" a="1"/>
  <c r="K63" i="9" s="1"/>
  <c r="AI59" i="9" a="1"/>
  <c r="AI59" i="9" s="1"/>
  <c r="W59" i="9" a="1"/>
  <c r="W59" i="9" s="1"/>
  <c r="K59" i="9" a="1"/>
  <c r="K59" i="9" s="1"/>
  <c r="AC56" i="9" a="1"/>
  <c r="AC56" i="9" s="1"/>
  <c r="Z63" i="9" a="1"/>
  <c r="Z63" i="9" s="1"/>
  <c r="N63" i="9" a="1"/>
  <c r="N63" i="9" s="1"/>
  <c r="AL59" i="9" a="1"/>
  <c r="AL59" i="9" s="1"/>
  <c r="Z59" i="9" a="1"/>
  <c r="Z59" i="9" s="1"/>
  <c r="N59" i="9" a="1"/>
  <c r="N59" i="9" s="1"/>
  <c r="AF56" i="9" a="1"/>
  <c r="AF56" i="9" s="1"/>
  <c r="Z55" i="9" a="1"/>
  <c r="Z55" i="9" s="1"/>
  <c r="K50" i="9" a="1"/>
  <c r="K50" i="9" s="1"/>
  <c r="Q50" i="9" a="1"/>
  <c r="Q50" i="9" s="1"/>
  <c r="T50" i="9" a="1"/>
  <c r="T50" i="9" s="1"/>
  <c r="W50" i="9" a="1"/>
  <c r="W50" i="9" s="1"/>
  <c r="Z50" i="9" a="1"/>
  <c r="Z50" i="9" s="1"/>
  <c r="AC50" i="9" a="1"/>
  <c r="AC50" i="9" s="1"/>
  <c r="AF50" i="9" a="1"/>
  <c r="AF50" i="9" s="1"/>
  <c r="AI50" i="9" a="1"/>
  <c r="AI50" i="9" s="1"/>
  <c r="AL50" i="9" a="1"/>
  <c r="AL50" i="9" s="1"/>
  <c r="K53" i="9" a="1"/>
  <c r="K53" i="9" s="1"/>
  <c r="K49" i="9" a="1"/>
  <c r="K49" i="9" s="1"/>
  <c r="Q49" i="9" a="1"/>
  <c r="Q49" i="9" s="1"/>
  <c r="T49" i="9" a="1"/>
  <c r="T49" i="9" s="1"/>
  <c r="W49" i="9" a="1"/>
  <c r="W49" i="9" s="1"/>
  <c r="Z49" i="9" a="1"/>
  <c r="Z49" i="9" s="1"/>
  <c r="AC49" i="9" a="1"/>
  <c r="AC49" i="9" s="1"/>
  <c r="AF49" i="9" a="1"/>
  <c r="AF49" i="9" s="1"/>
  <c r="AI49" i="9" a="1"/>
  <c r="AI49" i="9" s="1"/>
  <c r="AL49" i="9" a="1"/>
  <c r="AL49" i="9" s="1"/>
  <c r="AF68" i="9" a="1"/>
  <c r="AF68" i="9" s="1"/>
  <c r="AL67" i="9" a="1"/>
  <c r="AL67" i="9" s="1"/>
  <c r="Z67" i="9" a="1"/>
  <c r="Z67" i="9" s="1"/>
  <c r="AF63" i="9" a="1"/>
  <c r="AF63" i="9" s="1"/>
  <c r="AL62" i="9" a="1"/>
  <c r="AL62" i="9" s="1"/>
  <c r="Z62" i="9" a="1"/>
  <c r="Z62" i="9" s="1"/>
  <c r="AF61" i="9" a="1"/>
  <c r="AF61" i="9" s="1"/>
  <c r="AL60" i="9" a="1"/>
  <c r="AL60" i="9" s="1"/>
  <c r="Z60" i="9" a="1"/>
  <c r="Z60" i="9" s="1"/>
  <c r="AF59" i="9" a="1"/>
  <c r="AF59" i="9" s="1"/>
  <c r="AL58" i="9" a="1"/>
  <c r="AL58" i="9" s="1"/>
  <c r="Z58" i="9" a="1"/>
  <c r="Z58" i="9" s="1"/>
  <c r="AL56" i="9" a="1"/>
  <c r="AL56" i="9" s="1"/>
  <c r="Z56" i="9" a="1"/>
  <c r="Z56" i="9" s="1"/>
  <c r="AF55" i="9" a="1"/>
  <c r="AF55" i="9" s="1"/>
  <c r="T55" i="9" a="1"/>
  <c r="T55" i="9" s="1"/>
  <c r="AL54" i="9" a="1"/>
  <c r="AL54" i="9" s="1"/>
  <c r="Z54" i="9" a="1"/>
  <c r="Z54" i="9" s="1"/>
  <c r="AF53" i="9" a="1"/>
  <c r="AF53" i="9" s="1"/>
  <c r="T53" i="9" a="1"/>
  <c r="T53" i="9" s="1"/>
  <c r="AU63" i="9"/>
  <c r="AU59" i="9"/>
  <c r="AU62" i="9"/>
  <c r="AU58" i="9"/>
  <c r="AU55" i="9"/>
  <c r="AU56" i="9"/>
  <c r="AU52" i="9"/>
  <c r="AU48" i="9"/>
  <c r="AU51" i="9"/>
  <c r="AU53" i="9"/>
  <c r="AU49" i="9"/>
  <c r="AU54" i="9"/>
  <c r="AU50" i="9"/>
  <c r="M9" i="1"/>
  <c r="P9" i="1"/>
  <c r="S9" i="1"/>
  <c r="V9" i="1"/>
  <c r="Y9" i="1"/>
  <c r="AB9" i="1"/>
  <c r="AE9" i="1"/>
  <c r="AH9" i="1"/>
  <c r="AK9" i="1"/>
  <c r="M10" i="1"/>
  <c r="P10" i="1"/>
  <c r="S10" i="1"/>
  <c r="V10" i="1"/>
  <c r="Y10" i="1"/>
  <c r="AB10" i="1"/>
  <c r="AE10" i="1"/>
  <c r="AH10" i="1"/>
  <c r="AK10" i="1"/>
  <c r="J10" i="1"/>
  <c r="J9" i="1"/>
  <c r="AU174" i="1"/>
  <c r="AT174" i="1" s="1"/>
  <c r="AP174" i="1"/>
  <c r="AV174" i="1" s="1"/>
  <c r="AO174" i="1"/>
  <c r="AL174" i="1" a="1"/>
  <c r="AL174" i="1" s="1"/>
  <c r="AI174" i="1" a="1"/>
  <c r="AI174" i="1" s="1"/>
  <c r="AF174" i="1" a="1"/>
  <c r="AF174" i="1" s="1"/>
  <c r="AC174" i="1" a="1"/>
  <c r="AC174" i="1" s="1"/>
  <c r="Z174" i="1" a="1"/>
  <c r="Z174" i="1" s="1"/>
  <c r="W174" i="1" a="1"/>
  <c r="W174" i="1" s="1"/>
  <c r="T174" i="1" a="1"/>
  <c r="T174" i="1" s="1"/>
  <c r="Q174" i="1" a="1"/>
  <c r="Q174" i="1" s="1"/>
  <c r="N174" i="1" a="1"/>
  <c r="N174" i="1" s="1"/>
  <c r="K174" i="1" a="1"/>
  <c r="K174" i="1" s="1"/>
  <c r="AU173" i="1"/>
  <c r="AS173" i="1" s="1"/>
  <c r="AP173" i="1"/>
  <c r="AV173" i="1" s="1"/>
  <c r="AO173" i="1"/>
  <c r="AL173" i="1" a="1"/>
  <c r="AL173" i="1" s="1"/>
  <c r="AI173" i="1" a="1"/>
  <c r="AI173" i="1" s="1"/>
  <c r="AF173" i="1" a="1"/>
  <c r="AF173" i="1" s="1"/>
  <c r="AC173" i="1" a="1"/>
  <c r="AC173" i="1" s="1"/>
  <c r="Z173" i="1" a="1"/>
  <c r="Z173" i="1" s="1"/>
  <c r="W173" i="1" a="1"/>
  <c r="W173" i="1" s="1"/>
  <c r="T173" i="1" a="1"/>
  <c r="T173" i="1" s="1"/>
  <c r="Q173" i="1" a="1"/>
  <c r="Q173" i="1" s="1"/>
  <c r="N173" i="1" a="1"/>
  <c r="N173" i="1" s="1"/>
  <c r="K173" i="1" a="1"/>
  <c r="K173" i="1" s="1"/>
  <c r="AU172" i="1"/>
  <c r="AP172" i="1"/>
  <c r="AV172" i="1" s="1"/>
  <c r="AO172" i="1"/>
  <c r="AL172" i="1" a="1"/>
  <c r="AL172" i="1" s="1"/>
  <c r="AI172" i="1" a="1"/>
  <c r="AI172" i="1" s="1"/>
  <c r="AF172" i="1" a="1"/>
  <c r="AF172" i="1" s="1"/>
  <c r="AC172" i="1" a="1"/>
  <c r="AC172" i="1" s="1"/>
  <c r="Z172" i="1" a="1"/>
  <c r="Z172" i="1" s="1"/>
  <c r="W172" i="1" a="1"/>
  <c r="W172" i="1" s="1"/>
  <c r="T172" i="1" a="1"/>
  <c r="T172" i="1" s="1"/>
  <c r="Q172" i="1" a="1"/>
  <c r="Q172" i="1" s="1"/>
  <c r="N172" i="1" a="1"/>
  <c r="N172" i="1" s="1"/>
  <c r="K172" i="1" a="1"/>
  <c r="K172" i="1" s="1"/>
  <c r="AU171" i="1"/>
  <c r="AT171" i="1" s="1"/>
  <c r="AP171" i="1"/>
  <c r="AV171" i="1" s="1"/>
  <c r="AO171" i="1"/>
  <c r="AL171" i="1" a="1"/>
  <c r="AL171" i="1" s="1"/>
  <c r="AI171" i="1" a="1"/>
  <c r="AI171" i="1" s="1"/>
  <c r="AF171" i="1" a="1"/>
  <c r="AF171" i="1" s="1"/>
  <c r="AC171" i="1" a="1"/>
  <c r="AC171" i="1" s="1"/>
  <c r="Z171" i="1" a="1"/>
  <c r="Z171" i="1" s="1"/>
  <c r="W171" i="1" a="1"/>
  <c r="W171" i="1" s="1"/>
  <c r="T171" i="1" a="1"/>
  <c r="T171" i="1" s="1"/>
  <c r="Q171" i="1" a="1"/>
  <c r="Q171" i="1" s="1"/>
  <c r="N171" i="1" a="1"/>
  <c r="N171" i="1" s="1"/>
  <c r="K171" i="1" a="1"/>
  <c r="K171" i="1" s="1"/>
  <c r="AU170" i="1"/>
  <c r="AT170" i="1" s="1"/>
  <c r="AP170" i="1"/>
  <c r="AV170" i="1" s="1"/>
  <c r="AO170" i="1"/>
  <c r="AL170" i="1" a="1"/>
  <c r="AL170" i="1" s="1"/>
  <c r="AI170" i="1" a="1"/>
  <c r="AI170" i="1" s="1"/>
  <c r="AF170" i="1" a="1"/>
  <c r="AF170" i="1" s="1"/>
  <c r="AC170" i="1" a="1"/>
  <c r="AC170" i="1" s="1"/>
  <c r="Z170" i="1" a="1"/>
  <c r="Z170" i="1" s="1"/>
  <c r="W170" i="1" a="1"/>
  <c r="W170" i="1" s="1"/>
  <c r="T170" i="1" a="1"/>
  <c r="T170" i="1" s="1"/>
  <c r="Q170" i="1" a="1"/>
  <c r="Q170" i="1" s="1"/>
  <c r="N170" i="1" a="1"/>
  <c r="N170" i="1" s="1"/>
  <c r="K170" i="1" a="1"/>
  <c r="K170" i="1" s="1"/>
  <c r="AU169" i="1"/>
  <c r="AS169" i="1" s="1"/>
  <c r="AP169" i="1"/>
  <c r="AV169" i="1" s="1"/>
  <c r="AO169" i="1"/>
  <c r="AL169" i="1" a="1"/>
  <c r="AL169" i="1" s="1"/>
  <c r="AI169" i="1" a="1"/>
  <c r="AI169" i="1" s="1"/>
  <c r="AF169" i="1" a="1"/>
  <c r="AF169" i="1" s="1"/>
  <c r="AC169" i="1" a="1"/>
  <c r="AC169" i="1" s="1"/>
  <c r="Z169" i="1" a="1"/>
  <c r="Z169" i="1" s="1"/>
  <c r="W169" i="1" a="1"/>
  <c r="W169" i="1" s="1"/>
  <c r="T169" i="1" a="1"/>
  <c r="T169" i="1" s="1"/>
  <c r="Q169" i="1" a="1"/>
  <c r="Q169" i="1" s="1"/>
  <c r="N169" i="1" a="1"/>
  <c r="N169" i="1" s="1"/>
  <c r="K169" i="1" a="1"/>
  <c r="K169" i="1" s="1"/>
  <c r="AU168" i="1"/>
  <c r="AP168" i="1"/>
  <c r="AV168" i="1" s="1"/>
  <c r="AO168" i="1"/>
  <c r="AL168" i="1" a="1"/>
  <c r="AL168" i="1" s="1"/>
  <c r="AI168" i="1" a="1"/>
  <c r="AI168" i="1" s="1"/>
  <c r="AF168" i="1" a="1"/>
  <c r="AF168" i="1" s="1"/>
  <c r="AC168" i="1" a="1"/>
  <c r="AC168" i="1" s="1"/>
  <c r="Z168" i="1" a="1"/>
  <c r="Z168" i="1" s="1"/>
  <c r="W168" i="1" a="1"/>
  <c r="W168" i="1" s="1"/>
  <c r="T168" i="1" a="1"/>
  <c r="T168" i="1" s="1"/>
  <c r="Q168" i="1" a="1"/>
  <c r="Q168" i="1" s="1"/>
  <c r="N168" i="1" a="1"/>
  <c r="N168" i="1" s="1"/>
  <c r="K168" i="1" a="1"/>
  <c r="K168" i="1" s="1"/>
  <c r="AU167" i="1"/>
  <c r="AT167" i="1" s="1"/>
  <c r="AP167" i="1"/>
  <c r="AV167" i="1" s="1"/>
  <c r="AO167" i="1"/>
  <c r="AL167" i="1" a="1"/>
  <c r="AL167" i="1" s="1"/>
  <c r="AI167" i="1" a="1"/>
  <c r="AI167" i="1" s="1"/>
  <c r="AF167" i="1" a="1"/>
  <c r="AF167" i="1" s="1"/>
  <c r="AC167" i="1" a="1"/>
  <c r="AC167" i="1" s="1"/>
  <c r="Z167" i="1" a="1"/>
  <c r="Z167" i="1" s="1"/>
  <c r="W167" i="1" a="1"/>
  <c r="W167" i="1" s="1"/>
  <c r="T167" i="1" a="1"/>
  <c r="T167" i="1" s="1"/>
  <c r="Q167" i="1" a="1"/>
  <c r="Q167" i="1" s="1"/>
  <c r="N167" i="1" a="1"/>
  <c r="N167" i="1" s="1"/>
  <c r="K167" i="1" a="1"/>
  <c r="K167" i="1" s="1"/>
  <c r="AU166" i="1"/>
  <c r="AT166" i="1" s="1"/>
  <c r="AP166" i="1"/>
  <c r="AV166" i="1" s="1"/>
  <c r="AO166" i="1"/>
  <c r="AL166" i="1" a="1"/>
  <c r="AL166" i="1" s="1"/>
  <c r="AI166" i="1" a="1"/>
  <c r="AI166" i="1" s="1"/>
  <c r="AF166" i="1" a="1"/>
  <c r="AF166" i="1" s="1"/>
  <c r="AC166" i="1" a="1"/>
  <c r="AC166" i="1" s="1"/>
  <c r="Z166" i="1" a="1"/>
  <c r="Z166" i="1" s="1"/>
  <c r="W166" i="1" a="1"/>
  <c r="W166" i="1" s="1"/>
  <c r="T166" i="1" a="1"/>
  <c r="T166" i="1" s="1"/>
  <c r="Q166" i="1" a="1"/>
  <c r="Q166" i="1" s="1"/>
  <c r="N166" i="1" a="1"/>
  <c r="N166" i="1" s="1"/>
  <c r="K166" i="1" a="1"/>
  <c r="K166" i="1" s="1"/>
  <c r="AU165" i="1"/>
  <c r="AS165" i="1" s="1"/>
  <c r="AP165" i="1"/>
  <c r="AV165" i="1" s="1"/>
  <c r="AO165" i="1"/>
  <c r="AL165" i="1" a="1"/>
  <c r="AL165" i="1" s="1"/>
  <c r="AI165" i="1" a="1"/>
  <c r="AI165" i="1" s="1"/>
  <c r="AF165" i="1" a="1"/>
  <c r="AF165" i="1" s="1"/>
  <c r="AC165" i="1" a="1"/>
  <c r="AC165" i="1" s="1"/>
  <c r="Z165" i="1" a="1"/>
  <c r="Z165" i="1" s="1"/>
  <c r="W165" i="1" a="1"/>
  <c r="W165" i="1" s="1"/>
  <c r="T165" i="1" a="1"/>
  <c r="T165" i="1" s="1"/>
  <c r="Q165" i="1" a="1"/>
  <c r="Q165" i="1" s="1"/>
  <c r="N165" i="1" a="1"/>
  <c r="N165" i="1" s="1"/>
  <c r="K165" i="1" a="1"/>
  <c r="K165" i="1" s="1"/>
  <c r="AU164" i="1"/>
  <c r="AP164" i="1"/>
  <c r="AV164" i="1" s="1"/>
  <c r="AO164" i="1"/>
  <c r="AL164" i="1" a="1"/>
  <c r="AL164" i="1" s="1"/>
  <c r="AI164" i="1" a="1"/>
  <c r="AI164" i="1" s="1"/>
  <c r="AF164" i="1" a="1"/>
  <c r="AF164" i="1" s="1"/>
  <c r="AC164" i="1" a="1"/>
  <c r="AC164" i="1" s="1"/>
  <c r="Z164" i="1" a="1"/>
  <c r="Z164" i="1" s="1"/>
  <c r="W164" i="1" a="1"/>
  <c r="W164" i="1" s="1"/>
  <c r="T164" i="1" a="1"/>
  <c r="T164" i="1" s="1"/>
  <c r="Q164" i="1" a="1"/>
  <c r="Q164" i="1" s="1"/>
  <c r="N164" i="1" a="1"/>
  <c r="N164" i="1" s="1"/>
  <c r="K164" i="1" a="1"/>
  <c r="K164" i="1" s="1"/>
  <c r="AU163" i="1"/>
  <c r="AT163" i="1" s="1"/>
  <c r="AP163" i="1"/>
  <c r="AV163" i="1" s="1"/>
  <c r="AO163" i="1"/>
  <c r="AL163" i="1" a="1"/>
  <c r="AL163" i="1" s="1"/>
  <c r="AI163" i="1" a="1"/>
  <c r="AI163" i="1" s="1"/>
  <c r="AF163" i="1" a="1"/>
  <c r="AF163" i="1" s="1"/>
  <c r="AC163" i="1" a="1"/>
  <c r="AC163" i="1" s="1"/>
  <c r="Z163" i="1" a="1"/>
  <c r="Z163" i="1" s="1"/>
  <c r="W163" i="1" a="1"/>
  <c r="W163" i="1" s="1"/>
  <c r="T163" i="1" a="1"/>
  <c r="T163" i="1" s="1"/>
  <c r="Q163" i="1" a="1"/>
  <c r="Q163" i="1" s="1"/>
  <c r="N163" i="1" a="1"/>
  <c r="N163" i="1" s="1"/>
  <c r="K163" i="1" a="1"/>
  <c r="K163" i="1" s="1"/>
  <c r="AU162" i="1"/>
  <c r="AS162" i="1" s="1"/>
  <c r="AP162" i="1"/>
  <c r="AV162" i="1" s="1"/>
  <c r="AO162" i="1"/>
  <c r="AL162" i="1" a="1"/>
  <c r="AL162" i="1" s="1"/>
  <c r="AI162" i="1" a="1"/>
  <c r="AI162" i="1" s="1"/>
  <c r="AF162" i="1" a="1"/>
  <c r="AF162" i="1" s="1"/>
  <c r="AC162" i="1" a="1"/>
  <c r="AC162" i="1" s="1"/>
  <c r="Z162" i="1" a="1"/>
  <c r="Z162" i="1" s="1"/>
  <c r="W162" i="1" a="1"/>
  <c r="W162" i="1" s="1"/>
  <c r="T162" i="1" a="1"/>
  <c r="T162" i="1" s="1"/>
  <c r="Q162" i="1" a="1"/>
  <c r="Q162" i="1" s="1"/>
  <c r="N162" i="1" a="1"/>
  <c r="N162" i="1" s="1"/>
  <c r="K162" i="1" a="1"/>
  <c r="K162" i="1" s="1"/>
  <c r="AU161" i="1"/>
  <c r="AS161" i="1" s="1"/>
  <c r="AP161" i="1"/>
  <c r="AV161" i="1" s="1"/>
  <c r="AO161" i="1"/>
  <c r="AL161" i="1" a="1"/>
  <c r="AL161" i="1" s="1"/>
  <c r="AI161" i="1" a="1"/>
  <c r="AI161" i="1" s="1"/>
  <c r="AF161" i="1" a="1"/>
  <c r="AF161" i="1" s="1"/>
  <c r="AC161" i="1" a="1"/>
  <c r="AC161" i="1" s="1"/>
  <c r="Z161" i="1" a="1"/>
  <c r="Z161" i="1" s="1"/>
  <c r="W161" i="1" a="1"/>
  <c r="W161" i="1" s="1"/>
  <c r="T161" i="1" a="1"/>
  <c r="T161" i="1" s="1"/>
  <c r="Q161" i="1" a="1"/>
  <c r="Q161" i="1" s="1"/>
  <c r="N161" i="1" a="1"/>
  <c r="N161" i="1" s="1"/>
  <c r="K161" i="1" a="1"/>
  <c r="K161" i="1" s="1"/>
  <c r="AU160" i="1"/>
  <c r="AP160" i="1"/>
  <c r="AV160" i="1" s="1"/>
  <c r="AO160" i="1"/>
  <c r="AL160" i="1" a="1"/>
  <c r="AL160" i="1" s="1"/>
  <c r="AI160" i="1" a="1"/>
  <c r="AI160" i="1" s="1"/>
  <c r="AF160" i="1" a="1"/>
  <c r="AF160" i="1" s="1"/>
  <c r="AC160" i="1" a="1"/>
  <c r="AC160" i="1" s="1"/>
  <c r="Z160" i="1" a="1"/>
  <c r="Z160" i="1" s="1"/>
  <c r="W160" i="1" a="1"/>
  <c r="W160" i="1" s="1"/>
  <c r="T160" i="1" a="1"/>
  <c r="T160" i="1" s="1"/>
  <c r="Q160" i="1" a="1"/>
  <c r="Q160" i="1" s="1"/>
  <c r="N160" i="1" a="1"/>
  <c r="N160" i="1" s="1"/>
  <c r="K160" i="1" a="1"/>
  <c r="K160" i="1" s="1"/>
  <c r="AU159" i="1"/>
  <c r="AT159" i="1" s="1"/>
  <c r="AP159" i="1"/>
  <c r="AV159" i="1" s="1"/>
  <c r="AO159" i="1"/>
  <c r="AL159" i="1" a="1"/>
  <c r="AL159" i="1" s="1"/>
  <c r="AI159" i="1" a="1"/>
  <c r="AI159" i="1" s="1"/>
  <c r="AF159" i="1" a="1"/>
  <c r="AF159" i="1" s="1"/>
  <c r="AC159" i="1" a="1"/>
  <c r="AC159" i="1" s="1"/>
  <c r="Z159" i="1" a="1"/>
  <c r="Z159" i="1" s="1"/>
  <c r="W159" i="1" a="1"/>
  <c r="W159" i="1" s="1"/>
  <c r="T159" i="1" a="1"/>
  <c r="T159" i="1" s="1"/>
  <c r="Q159" i="1" a="1"/>
  <c r="Q159" i="1" s="1"/>
  <c r="N159" i="1" a="1"/>
  <c r="N159" i="1" s="1"/>
  <c r="K159" i="1" a="1"/>
  <c r="K159" i="1" s="1"/>
  <c r="AU158" i="1"/>
  <c r="AT158" i="1" s="1"/>
  <c r="AP158" i="1"/>
  <c r="AV158" i="1" s="1"/>
  <c r="AO158" i="1"/>
  <c r="AL158" i="1" a="1"/>
  <c r="AL158" i="1" s="1"/>
  <c r="AI158" i="1" a="1"/>
  <c r="AI158" i="1" s="1"/>
  <c r="AF158" i="1" a="1"/>
  <c r="AF158" i="1" s="1"/>
  <c r="AC158" i="1" a="1"/>
  <c r="AC158" i="1" s="1"/>
  <c r="Z158" i="1" a="1"/>
  <c r="Z158" i="1" s="1"/>
  <c r="W158" i="1" a="1"/>
  <c r="W158" i="1" s="1"/>
  <c r="T158" i="1" a="1"/>
  <c r="T158" i="1" s="1"/>
  <c r="Q158" i="1" a="1"/>
  <c r="Q158" i="1" s="1"/>
  <c r="N158" i="1" a="1"/>
  <c r="N158" i="1" s="1"/>
  <c r="K158" i="1" a="1"/>
  <c r="K158" i="1" s="1"/>
  <c r="AK156" i="1"/>
  <c r="AH156" i="1"/>
  <c r="AE156" i="1"/>
  <c r="AB156" i="1"/>
  <c r="Y156" i="1"/>
  <c r="V156" i="1"/>
  <c r="S156" i="1"/>
  <c r="P156" i="1"/>
  <c r="M156" i="1"/>
  <c r="J156" i="1"/>
  <c r="AU154" i="1"/>
  <c r="AT154" i="1" s="1"/>
  <c r="AP154" i="1"/>
  <c r="AV154" i="1" s="1"/>
  <c r="AO154" i="1"/>
  <c r="AL154" i="1" a="1"/>
  <c r="AL154" i="1" s="1"/>
  <c r="AI154" i="1" a="1"/>
  <c r="AI154" i="1" s="1"/>
  <c r="AF154" i="1" a="1"/>
  <c r="AF154" i="1" s="1"/>
  <c r="AC154" i="1" a="1"/>
  <c r="AC154" i="1" s="1"/>
  <c r="Z154" i="1" a="1"/>
  <c r="Z154" i="1" s="1"/>
  <c r="W154" i="1" a="1"/>
  <c r="W154" i="1" s="1"/>
  <c r="T154" i="1" a="1"/>
  <c r="T154" i="1" s="1"/>
  <c r="Q154" i="1" a="1"/>
  <c r="Q154" i="1" s="1"/>
  <c r="N154" i="1" a="1"/>
  <c r="N154" i="1" s="1"/>
  <c r="K154" i="1" a="1"/>
  <c r="K154" i="1" s="1"/>
  <c r="AU153" i="1"/>
  <c r="AS153" i="1" s="1"/>
  <c r="AP153" i="1"/>
  <c r="AV153" i="1" s="1"/>
  <c r="AO153" i="1"/>
  <c r="AL153" i="1" a="1"/>
  <c r="AL153" i="1" s="1"/>
  <c r="AI153" i="1" a="1"/>
  <c r="AI153" i="1" s="1"/>
  <c r="AF153" i="1" a="1"/>
  <c r="AF153" i="1" s="1"/>
  <c r="AC153" i="1" a="1"/>
  <c r="AC153" i="1" s="1"/>
  <c r="Z153" i="1" a="1"/>
  <c r="Z153" i="1" s="1"/>
  <c r="W153" i="1" a="1"/>
  <c r="W153" i="1" s="1"/>
  <c r="T153" i="1" a="1"/>
  <c r="T153" i="1" s="1"/>
  <c r="Q153" i="1" a="1"/>
  <c r="Q153" i="1" s="1"/>
  <c r="N153" i="1" a="1"/>
  <c r="N153" i="1" s="1"/>
  <c r="K153" i="1" a="1"/>
  <c r="K153" i="1" s="1"/>
  <c r="AU152" i="1"/>
  <c r="AT152" i="1" s="1"/>
  <c r="AP152" i="1"/>
  <c r="AV152" i="1" s="1"/>
  <c r="AO152" i="1"/>
  <c r="AL152" i="1" a="1"/>
  <c r="AL152" i="1" s="1"/>
  <c r="AI152" i="1" a="1"/>
  <c r="AI152" i="1" s="1"/>
  <c r="AF152" i="1" a="1"/>
  <c r="AF152" i="1" s="1"/>
  <c r="AC152" i="1" a="1"/>
  <c r="AC152" i="1" s="1"/>
  <c r="Z152" i="1" a="1"/>
  <c r="Z152" i="1" s="1"/>
  <c r="W152" i="1" a="1"/>
  <c r="W152" i="1" s="1"/>
  <c r="T152" i="1" a="1"/>
  <c r="T152" i="1" s="1"/>
  <c r="Q152" i="1" a="1"/>
  <c r="Q152" i="1" s="1"/>
  <c r="N152" i="1" a="1"/>
  <c r="N152" i="1" s="1"/>
  <c r="K152" i="1" a="1"/>
  <c r="K152" i="1" s="1"/>
  <c r="AU151" i="1"/>
  <c r="AS151" i="1" s="1"/>
  <c r="AP151" i="1"/>
  <c r="AV151" i="1" s="1"/>
  <c r="AO151" i="1"/>
  <c r="AL151" i="1" a="1"/>
  <c r="AL151" i="1" s="1"/>
  <c r="AI151" i="1" a="1"/>
  <c r="AI151" i="1" s="1"/>
  <c r="AF151" i="1" a="1"/>
  <c r="AF151" i="1" s="1"/>
  <c r="AC151" i="1" a="1"/>
  <c r="AC151" i="1" s="1"/>
  <c r="Z151" i="1" a="1"/>
  <c r="Z151" i="1" s="1"/>
  <c r="W151" i="1" a="1"/>
  <c r="W151" i="1" s="1"/>
  <c r="T151" i="1" a="1"/>
  <c r="T151" i="1" s="1"/>
  <c r="Q151" i="1" a="1"/>
  <c r="Q151" i="1" s="1"/>
  <c r="N151" i="1" a="1"/>
  <c r="N151" i="1" s="1"/>
  <c r="K151" i="1" a="1"/>
  <c r="K151" i="1" s="1"/>
  <c r="AU150" i="1"/>
  <c r="AT150" i="1" s="1"/>
  <c r="AP150" i="1"/>
  <c r="AV150" i="1" s="1"/>
  <c r="AO150" i="1"/>
  <c r="AL150" i="1" a="1"/>
  <c r="AL150" i="1" s="1"/>
  <c r="AI150" i="1" a="1"/>
  <c r="AI150" i="1" s="1"/>
  <c r="AF150" i="1" a="1"/>
  <c r="AF150" i="1" s="1"/>
  <c r="AC150" i="1" a="1"/>
  <c r="AC150" i="1" s="1"/>
  <c r="Z150" i="1" a="1"/>
  <c r="Z150" i="1" s="1"/>
  <c r="W150" i="1" a="1"/>
  <c r="W150" i="1" s="1"/>
  <c r="T150" i="1" a="1"/>
  <c r="T150" i="1" s="1"/>
  <c r="Q150" i="1" a="1"/>
  <c r="Q150" i="1" s="1"/>
  <c r="N150" i="1" a="1"/>
  <c r="N150" i="1" s="1"/>
  <c r="K150" i="1" a="1"/>
  <c r="K150" i="1" s="1"/>
  <c r="AU149" i="1"/>
  <c r="AS149" i="1" s="1"/>
  <c r="AP149" i="1"/>
  <c r="AV149" i="1" s="1"/>
  <c r="AO149" i="1"/>
  <c r="AL149" i="1" a="1"/>
  <c r="AL149" i="1" s="1"/>
  <c r="AI149" i="1" a="1"/>
  <c r="AI149" i="1" s="1"/>
  <c r="AF149" i="1" a="1"/>
  <c r="AF149" i="1" s="1"/>
  <c r="AC149" i="1" a="1"/>
  <c r="AC149" i="1" s="1"/>
  <c r="Z149" i="1" a="1"/>
  <c r="Z149" i="1" s="1"/>
  <c r="W149" i="1" a="1"/>
  <c r="W149" i="1" s="1"/>
  <c r="T149" i="1" a="1"/>
  <c r="T149" i="1" s="1"/>
  <c r="Q149" i="1" a="1"/>
  <c r="Q149" i="1" s="1"/>
  <c r="N149" i="1" a="1"/>
  <c r="N149" i="1" s="1"/>
  <c r="K149" i="1" a="1"/>
  <c r="K149" i="1" s="1"/>
  <c r="AU148" i="1"/>
  <c r="AT148" i="1" s="1"/>
  <c r="AP148" i="1"/>
  <c r="AV148" i="1" s="1"/>
  <c r="AO148" i="1"/>
  <c r="AL148" i="1" a="1"/>
  <c r="AL148" i="1" s="1"/>
  <c r="AI148" i="1" a="1"/>
  <c r="AI148" i="1" s="1"/>
  <c r="AF148" i="1" a="1"/>
  <c r="AF148" i="1" s="1"/>
  <c r="AC148" i="1" a="1"/>
  <c r="AC148" i="1" s="1"/>
  <c r="Z148" i="1" a="1"/>
  <c r="Z148" i="1" s="1"/>
  <c r="W148" i="1" a="1"/>
  <c r="W148" i="1" s="1"/>
  <c r="T148" i="1" a="1"/>
  <c r="T148" i="1" s="1"/>
  <c r="Q148" i="1" a="1"/>
  <c r="Q148" i="1" s="1"/>
  <c r="N148" i="1" a="1"/>
  <c r="N148" i="1" s="1"/>
  <c r="K148" i="1" a="1"/>
  <c r="K148" i="1" s="1"/>
  <c r="AU147" i="1"/>
  <c r="AT147" i="1" s="1"/>
  <c r="AP147" i="1"/>
  <c r="AV147" i="1" s="1"/>
  <c r="AO147" i="1"/>
  <c r="AL147" i="1" a="1"/>
  <c r="AL147" i="1" s="1"/>
  <c r="AI147" i="1" a="1"/>
  <c r="AI147" i="1" s="1"/>
  <c r="AF147" i="1" a="1"/>
  <c r="AF147" i="1" s="1"/>
  <c r="AC147" i="1" a="1"/>
  <c r="AC147" i="1" s="1"/>
  <c r="Z147" i="1" a="1"/>
  <c r="Z147" i="1" s="1"/>
  <c r="W147" i="1" a="1"/>
  <c r="W147" i="1" s="1"/>
  <c r="T147" i="1" a="1"/>
  <c r="T147" i="1" s="1"/>
  <c r="Q147" i="1" a="1"/>
  <c r="Q147" i="1" s="1"/>
  <c r="N147" i="1" a="1"/>
  <c r="N147" i="1" s="1"/>
  <c r="K147" i="1" a="1"/>
  <c r="K147" i="1" s="1"/>
  <c r="AU146" i="1"/>
  <c r="AT146" i="1" s="1"/>
  <c r="AP146" i="1"/>
  <c r="AV146" i="1" s="1"/>
  <c r="AO146" i="1"/>
  <c r="AL146" i="1" a="1"/>
  <c r="AL146" i="1" s="1"/>
  <c r="AI146" i="1" a="1"/>
  <c r="AI146" i="1" s="1"/>
  <c r="AF146" i="1" a="1"/>
  <c r="AF146" i="1" s="1"/>
  <c r="AC146" i="1" a="1"/>
  <c r="AC146" i="1" s="1"/>
  <c r="Z146" i="1" a="1"/>
  <c r="Z146" i="1" s="1"/>
  <c r="W146" i="1" a="1"/>
  <c r="W146" i="1" s="1"/>
  <c r="T146" i="1" a="1"/>
  <c r="T146" i="1" s="1"/>
  <c r="Q146" i="1" a="1"/>
  <c r="Q146" i="1" s="1"/>
  <c r="N146" i="1" a="1"/>
  <c r="N146" i="1" s="1"/>
  <c r="K146" i="1" a="1"/>
  <c r="K146" i="1" s="1"/>
  <c r="AU145" i="1"/>
  <c r="AS145" i="1" s="1"/>
  <c r="AP145" i="1"/>
  <c r="AV145" i="1" s="1"/>
  <c r="AO145" i="1"/>
  <c r="AL145" i="1" a="1"/>
  <c r="AL145" i="1" s="1"/>
  <c r="AI145" i="1" a="1"/>
  <c r="AI145" i="1" s="1"/>
  <c r="AF145" i="1" a="1"/>
  <c r="AF145" i="1" s="1"/>
  <c r="AC145" i="1" a="1"/>
  <c r="AC145" i="1" s="1"/>
  <c r="Z145" i="1" a="1"/>
  <c r="Z145" i="1" s="1"/>
  <c r="W145" i="1" a="1"/>
  <c r="W145" i="1" s="1"/>
  <c r="T145" i="1" a="1"/>
  <c r="T145" i="1" s="1"/>
  <c r="Q145" i="1" a="1"/>
  <c r="Q145" i="1" s="1"/>
  <c r="N145" i="1" a="1"/>
  <c r="N145" i="1" s="1"/>
  <c r="K145" i="1" a="1"/>
  <c r="K145" i="1" s="1"/>
  <c r="AU144" i="1"/>
  <c r="AT144" i="1" s="1"/>
  <c r="AP144" i="1"/>
  <c r="AV144" i="1" s="1"/>
  <c r="AO144" i="1"/>
  <c r="AL144" i="1" a="1"/>
  <c r="AL144" i="1" s="1"/>
  <c r="AI144" i="1" a="1"/>
  <c r="AI144" i="1" s="1"/>
  <c r="AF144" i="1" a="1"/>
  <c r="AF144" i="1" s="1"/>
  <c r="AC144" i="1" a="1"/>
  <c r="AC144" i="1" s="1"/>
  <c r="Z144" i="1" a="1"/>
  <c r="Z144" i="1" s="1"/>
  <c r="W144" i="1" a="1"/>
  <c r="W144" i="1" s="1"/>
  <c r="T144" i="1" a="1"/>
  <c r="T144" i="1" s="1"/>
  <c r="Q144" i="1" a="1"/>
  <c r="Q144" i="1" s="1"/>
  <c r="N144" i="1" a="1"/>
  <c r="N144" i="1" s="1"/>
  <c r="K144" i="1" a="1"/>
  <c r="K144" i="1" s="1"/>
  <c r="AU143" i="1"/>
  <c r="AT143" i="1" s="1"/>
  <c r="AP143" i="1"/>
  <c r="AV143" i="1" s="1"/>
  <c r="AO143" i="1"/>
  <c r="AL143" i="1" a="1"/>
  <c r="AL143" i="1" s="1"/>
  <c r="AI143" i="1" a="1"/>
  <c r="AI143" i="1" s="1"/>
  <c r="AF143" i="1" a="1"/>
  <c r="AF143" i="1" s="1"/>
  <c r="AC143" i="1" a="1"/>
  <c r="AC143" i="1" s="1"/>
  <c r="Z143" i="1" a="1"/>
  <c r="Z143" i="1" s="1"/>
  <c r="W143" i="1" a="1"/>
  <c r="W143" i="1" s="1"/>
  <c r="T143" i="1" a="1"/>
  <c r="T143" i="1" s="1"/>
  <c r="Q143" i="1" a="1"/>
  <c r="Q143" i="1" s="1"/>
  <c r="N143" i="1" a="1"/>
  <c r="N143" i="1" s="1"/>
  <c r="K143" i="1" a="1"/>
  <c r="K143" i="1" s="1"/>
  <c r="AU142" i="1"/>
  <c r="AS142" i="1" s="1"/>
  <c r="AP142" i="1"/>
  <c r="AV142" i="1" s="1"/>
  <c r="AO142" i="1"/>
  <c r="AL142" i="1" a="1"/>
  <c r="AL142" i="1" s="1"/>
  <c r="AI142" i="1" a="1"/>
  <c r="AI142" i="1" s="1"/>
  <c r="AF142" i="1" a="1"/>
  <c r="AF142" i="1" s="1"/>
  <c r="AC142" i="1" a="1"/>
  <c r="AC142" i="1" s="1"/>
  <c r="Z142" i="1" a="1"/>
  <c r="Z142" i="1" s="1"/>
  <c r="W142" i="1" a="1"/>
  <c r="W142" i="1" s="1"/>
  <c r="T142" i="1" a="1"/>
  <c r="T142" i="1" s="1"/>
  <c r="Q142" i="1" a="1"/>
  <c r="Q142" i="1" s="1"/>
  <c r="N142" i="1" a="1"/>
  <c r="N142" i="1" s="1"/>
  <c r="K142" i="1" a="1"/>
  <c r="K142" i="1" s="1"/>
  <c r="AU141" i="1"/>
  <c r="AS141" i="1" s="1"/>
  <c r="AP141" i="1"/>
  <c r="AO141" i="1"/>
  <c r="AL141" i="1" a="1"/>
  <c r="AL141" i="1" s="1"/>
  <c r="AI141" i="1" a="1"/>
  <c r="AI141" i="1" s="1"/>
  <c r="AF141" i="1" a="1"/>
  <c r="AF141" i="1" s="1"/>
  <c r="AC141" i="1" a="1"/>
  <c r="AC141" i="1" s="1"/>
  <c r="Z141" i="1" a="1"/>
  <c r="Z141" i="1" s="1"/>
  <c r="W141" i="1" a="1"/>
  <c r="W141" i="1" s="1"/>
  <c r="T141" i="1" a="1"/>
  <c r="T141" i="1" s="1"/>
  <c r="Q141" i="1" a="1"/>
  <c r="Q141" i="1" s="1"/>
  <c r="N141" i="1" a="1"/>
  <c r="N141" i="1" s="1"/>
  <c r="K141" i="1" a="1"/>
  <c r="K141" i="1" s="1"/>
  <c r="AU140" i="1"/>
  <c r="AP140" i="1"/>
  <c r="AV140" i="1" s="1"/>
  <c r="AO140" i="1"/>
  <c r="AL140" i="1" a="1"/>
  <c r="AL140" i="1" s="1"/>
  <c r="AI140" i="1" a="1"/>
  <c r="AI140" i="1" s="1"/>
  <c r="AF140" i="1" a="1"/>
  <c r="AF140" i="1" s="1"/>
  <c r="AC140" i="1" a="1"/>
  <c r="AC140" i="1" s="1"/>
  <c r="Z140" i="1" a="1"/>
  <c r="Z140" i="1" s="1"/>
  <c r="W140" i="1" a="1"/>
  <c r="W140" i="1" s="1"/>
  <c r="T140" i="1" a="1"/>
  <c r="T140" i="1" s="1"/>
  <c r="Q140" i="1" a="1"/>
  <c r="Q140" i="1" s="1"/>
  <c r="N140" i="1" a="1"/>
  <c r="N140" i="1" s="1"/>
  <c r="K140" i="1" a="1"/>
  <c r="K140" i="1" s="1"/>
  <c r="AU139" i="1"/>
  <c r="AT139" i="1" s="1"/>
  <c r="AP139" i="1"/>
  <c r="AV139" i="1" s="1"/>
  <c r="AO139" i="1"/>
  <c r="AL139" i="1" a="1"/>
  <c r="AL139" i="1" s="1"/>
  <c r="AI139" i="1" a="1"/>
  <c r="AI139" i="1" s="1"/>
  <c r="AF139" i="1" a="1"/>
  <c r="AF139" i="1" s="1"/>
  <c r="AC139" i="1" a="1"/>
  <c r="AC139" i="1" s="1"/>
  <c r="Z139" i="1" a="1"/>
  <c r="Z139" i="1" s="1"/>
  <c r="W139" i="1" a="1"/>
  <c r="W139" i="1" s="1"/>
  <c r="T139" i="1" a="1"/>
  <c r="T139" i="1" s="1"/>
  <c r="Q139" i="1" a="1"/>
  <c r="Q139" i="1" s="1"/>
  <c r="N139" i="1" a="1"/>
  <c r="N139" i="1" s="1"/>
  <c r="K139" i="1" a="1"/>
  <c r="K139" i="1" s="1"/>
  <c r="AU138" i="1"/>
  <c r="AT138" i="1" s="1"/>
  <c r="AP138" i="1"/>
  <c r="AV138" i="1" s="1"/>
  <c r="AO138" i="1"/>
  <c r="AL138" i="1" a="1"/>
  <c r="AL138" i="1" s="1"/>
  <c r="AI138" i="1" a="1"/>
  <c r="AI138" i="1" s="1"/>
  <c r="AF138" i="1" a="1"/>
  <c r="AF138" i="1" s="1"/>
  <c r="AC138" i="1" a="1"/>
  <c r="AC138" i="1" s="1"/>
  <c r="Z138" i="1" a="1"/>
  <c r="Z138" i="1" s="1"/>
  <c r="W138" i="1" a="1"/>
  <c r="W138" i="1" s="1"/>
  <c r="T138" i="1" a="1"/>
  <c r="T138" i="1" s="1"/>
  <c r="Q138" i="1" a="1"/>
  <c r="Q138" i="1" s="1"/>
  <c r="N138" i="1" a="1"/>
  <c r="N138" i="1" s="1"/>
  <c r="K138" i="1" a="1"/>
  <c r="K138" i="1" s="1"/>
  <c r="AK136" i="1"/>
  <c r="AH136" i="1"/>
  <c r="AE136" i="1"/>
  <c r="AB136" i="1"/>
  <c r="Y136" i="1"/>
  <c r="V136" i="1"/>
  <c r="S136" i="1"/>
  <c r="P136" i="1"/>
  <c r="M136" i="1"/>
  <c r="J136" i="1"/>
  <c r="AC123" i="1" a="1"/>
  <c r="AC123" i="1" s="1"/>
  <c r="AF123" i="1" a="1"/>
  <c r="AF123" i="1" s="1"/>
  <c r="AI123" i="1" a="1"/>
  <c r="AI123" i="1" s="1"/>
  <c r="AL123" i="1" a="1"/>
  <c r="AL123" i="1" s="1"/>
  <c r="AC124" i="1" a="1"/>
  <c r="AC124" i="1" s="1"/>
  <c r="AF124" i="1" a="1"/>
  <c r="AF124" i="1" s="1"/>
  <c r="AI124" i="1" a="1"/>
  <c r="AI124" i="1" s="1"/>
  <c r="AL124" i="1" a="1"/>
  <c r="AL124" i="1" s="1"/>
  <c r="AC125" i="1" a="1"/>
  <c r="AC125" i="1" s="1"/>
  <c r="AF125" i="1" a="1"/>
  <c r="AF125" i="1" s="1"/>
  <c r="AI125" i="1" a="1"/>
  <c r="AI125" i="1" s="1"/>
  <c r="AL125" i="1" a="1"/>
  <c r="AL125" i="1" s="1"/>
  <c r="AC126" i="1" a="1"/>
  <c r="AC126" i="1" s="1"/>
  <c r="AF126" i="1" a="1"/>
  <c r="AF126" i="1" s="1"/>
  <c r="AI126" i="1" a="1"/>
  <c r="AI126" i="1" s="1"/>
  <c r="AL126" i="1" a="1"/>
  <c r="AL126" i="1" s="1"/>
  <c r="AC127" i="1" a="1"/>
  <c r="AC127" i="1" s="1"/>
  <c r="AF127" i="1" a="1"/>
  <c r="AF127" i="1" s="1"/>
  <c r="AI127" i="1" a="1"/>
  <c r="AI127" i="1" s="1"/>
  <c r="AL127" i="1" a="1"/>
  <c r="AL127" i="1" s="1"/>
  <c r="AC128" i="1" a="1"/>
  <c r="AC128" i="1" s="1"/>
  <c r="AF128" i="1" a="1"/>
  <c r="AF128" i="1" s="1"/>
  <c r="AI128" i="1" a="1"/>
  <c r="AI128" i="1" s="1"/>
  <c r="AL128" i="1" a="1"/>
  <c r="AL128" i="1" s="1"/>
  <c r="AC129" i="1" a="1"/>
  <c r="AC129" i="1" s="1"/>
  <c r="AF129" i="1" a="1"/>
  <c r="AF129" i="1" s="1"/>
  <c r="AI129" i="1" a="1"/>
  <c r="AI129" i="1" s="1"/>
  <c r="AL129" i="1" a="1"/>
  <c r="AL129" i="1" s="1"/>
  <c r="AC130" i="1" a="1"/>
  <c r="AC130" i="1" s="1"/>
  <c r="AF130" i="1" a="1"/>
  <c r="AF130" i="1" s="1"/>
  <c r="AI130" i="1" a="1"/>
  <c r="AI130" i="1" s="1"/>
  <c r="AL130" i="1" a="1"/>
  <c r="AL130" i="1" s="1"/>
  <c r="AC131" i="1" a="1"/>
  <c r="AC131" i="1" s="1"/>
  <c r="AF131" i="1" a="1"/>
  <c r="AF131" i="1" s="1"/>
  <c r="AI131" i="1" a="1"/>
  <c r="AI131" i="1" s="1"/>
  <c r="AL131" i="1" a="1"/>
  <c r="AL131" i="1" s="1"/>
  <c r="AC132" i="1" a="1"/>
  <c r="AC132" i="1" s="1"/>
  <c r="AF132" i="1" a="1"/>
  <c r="AF132" i="1" s="1"/>
  <c r="AI132" i="1" a="1"/>
  <c r="AI132" i="1" s="1"/>
  <c r="AL132" i="1" a="1"/>
  <c r="AL132" i="1" s="1"/>
  <c r="AC133" i="1" a="1"/>
  <c r="AC133" i="1" s="1"/>
  <c r="AF133" i="1" a="1"/>
  <c r="AF133" i="1" s="1"/>
  <c r="AI133" i="1" a="1"/>
  <c r="AI133" i="1" s="1"/>
  <c r="AL133" i="1" a="1"/>
  <c r="AL133" i="1" s="1"/>
  <c r="AC134" i="1" a="1"/>
  <c r="AC134" i="1" s="1"/>
  <c r="AF134" i="1" a="1"/>
  <c r="AF134" i="1" s="1"/>
  <c r="AI134" i="1" a="1"/>
  <c r="AI134" i="1" s="1"/>
  <c r="AL134" i="1" a="1"/>
  <c r="AL134" i="1" s="1"/>
  <c r="K52" i="1" a="1"/>
  <c r="K52" i="1" s="1"/>
  <c r="K54" i="1" a="1"/>
  <c r="K54" i="1" s="1"/>
  <c r="K55" i="1" a="1"/>
  <c r="K55" i="1" s="1"/>
  <c r="K56" i="1" a="1"/>
  <c r="K56" i="1" s="1"/>
  <c r="K57" i="1" a="1"/>
  <c r="K57" i="1" s="1"/>
  <c r="K58" i="1" a="1"/>
  <c r="K58" i="1" s="1"/>
  <c r="K59" i="1" a="1"/>
  <c r="K59" i="1" s="1"/>
  <c r="K60" i="1" a="1"/>
  <c r="K60" i="1" s="1"/>
  <c r="N54" i="1" a="1"/>
  <c r="N54" i="1" s="1"/>
  <c r="N55" i="1" a="1"/>
  <c r="N55" i="1" s="1"/>
  <c r="N56" i="1" a="1"/>
  <c r="N56" i="1" s="1"/>
  <c r="N57" i="1" a="1"/>
  <c r="N57" i="1" s="1"/>
  <c r="N58" i="1" a="1"/>
  <c r="N58" i="1" s="1"/>
  <c r="N59" i="1" a="1"/>
  <c r="N59" i="1" s="1"/>
  <c r="N60" i="1" a="1"/>
  <c r="N60" i="1" s="1"/>
  <c r="Q52" i="1" a="1"/>
  <c r="Q52" i="1" s="1"/>
  <c r="Q60" i="1" a="1"/>
  <c r="Q60" i="1" s="1"/>
  <c r="T52" i="1" a="1"/>
  <c r="T52" i="1" s="1"/>
  <c r="T54" i="1" a="1"/>
  <c r="T54" i="1" s="1"/>
  <c r="T55" i="1" a="1"/>
  <c r="T55" i="1" s="1"/>
  <c r="T56" i="1" a="1"/>
  <c r="T56" i="1" s="1"/>
  <c r="T57" i="1" a="1"/>
  <c r="T57" i="1" s="1"/>
  <c r="T58" i="1" a="1"/>
  <c r="T58" i="1" s="1"/>
  <c r="T59" i="1" a="1"/>
  <c r="T59" i="1" s="1"/>
  <c r="W52" i="1" a="1"/>
  <c r="W52" i="1" s="1"/>
  <c r="W54" i="1" a="1"/>
  <c r="W54" i="1" s="1"/>
  <c r="W55" i="1" a="1"/>
  <c r="W55" i="1" s="1"/>
  <c r="W56" i="1" a="1"/>
  <c r="W56" i="1" s="1"/>
  <c r="W57" i="1" a="1"/>
  <c r="W57" i="1" s="1"/>
  <c r="W58" i="1" a="1"/>
  <c r="W58" i="1" s="1"/>
  <c r="W59" i="1" a="1"/>
  <c r="W59" i="1" s="1"/>
  <c r="W60" i="1" a="1"/>
  <c r="W60" i="1" s="1"/>
  <c r="Z52" i="1" a="1"/>
  <c r="Z52" i="1" s="1"/>
  <c r="Z54" i="1" a="1"/>
  <c r="Z54" i="1" s="1"/>
  <c r="Z55" i="1" a="1"/>
  <c r="Z55" i="1" s="1"/>
  <c r="Z56" i="1" a="1"/>
  <c r="Z56" i="1" s="1"/>
  <c r="Z57" i="1" a="1"/>
  <c r="Z57" i="1" s="1"/>
  <c r="Z58" i="1" a="1"/>
  <c r="Z58" i="1" s="1"/>
  <c r="Z59" i="1" a="1"/>
  <c r="Z59" i="1" s="1"/>
  <c r="Z60" i="1" a="1"/>
  <c r="Z60" i="1" s="1"/>
  <c r="AC52" i="1" a="1"/>
  <c r="AC52" i="1" s="1"/>
  <c r="AC54" i="1" a="1"/>
  <c r="AC54" i="1" s="1"/>
  <c r="AC55" i="1" a="1"/>
  <c r="AC55" i="1" s="1"/>
  <c r="AC56" i="1" a="1"/>
  <c r="AC56" i="1" s="1"/>
  <c r="AC57" i="1" a="1"/>
  <c r="AC57" i="1" s="1"/>
  <c r="AC58" i="1" a="1"/>
  <c r="AC58" i="1" s="1"/>
  <c r="AC59" i="1" a="1"/>
  <c r="AC59" i="1" s="1"/>
  <c r="AC60" i="1" a="1"/>
  <c r="AC60" i="1" s="1"/>
  <c r="AF52" i="1" a="1"/>
  <c r="AF52" i="1" s="1"/>
  <c r="AF54" i="1" a="1"/>
  <c r="AF54" i="1" s="1"/>
  <c r="AF55" i="1" a="1"/>
  <c r="AF55" i="1" s="1"/>
  <c r="AF56" i="1" a="1"/>
  <c r="AF56" i="1" s="1"/>
  <c r="AF57" i="1" a="1"/>
  <c r="AF57" i="1" s="1"/>
  <c r="AF58" i="1" a="1"/>
  <c r="AF58" i="1" s="1"/>
  <c r="AF59" i="1" a="1"/>
  <c r="AF59" i="1" s="1"/>
  <c r="AF60" i="1" a="1"/>
  <c r="AF60" i="1" s="1"/>
  <c r="AI52" i="1" a="1"/>
  <c r="AI52" i="1" s="1"/>
  <c r="AI54" i="1" a="1"/>
  <c r="AI54" i="1" s="1"/>
  <c r="AI55" i="1" a="1"/>
  <c r="AI55" i="1" s="1"/>
  <c r="AI56" i="1" a="1"/>
  <c r="AI56" i="1" s="1"/>
  <c r="AI57" i="1" a="1"/>
  <c r="AI57" i="1" s="1"/>
  <c r="AI58" i="1" a="1"/>
  <c r="AI58" i="1" s="1"/>
  <c r="AI59" i="1" a="1"/>
  <c r="AI59" i="1" s="1"/>
  <c r="AI60" i="1" a="1"/>
  <c r="AI60" i="1" s="1"/>
  <c r="AL52" i="1" a="1"/>
  <c r="AL52" i="1" s="1"/>
  <c r="AL54" i="1" a="1"/>
  <c r="AL54" i="1" s="1"/>
  <c r="AL55" i="1" a="1"/>
  <c r="AL55" i="1" s="1"/>
  <c r="AL56" i="1" a="1"/>
  <c r="AL56" i="1" s="1"/>
  <c r="AL57" i="1" a="1"/>
  <c r="AL57" i="1" s="1"/>
  <c r="AL58" i="1" a="1"/>
  <c r="AL58" i="1" s="1"/>
  <c r="AL59" i="1" a="1"/>
  <c r="AL59" i="1" s="1"/>
  <c r="AL60" i="1" a="1"/>
  <c r="AL60" i="1" s="1"/>
  <c r="AU52" i="1"/>
  <c r="AS52" i="1" s="1"/>
  <c r="AU54" i="1"/>
  <c r="AS54" i="1" s="1"/>
  <c r="AU55" i="1"/>
  <c r="AS55" i="1" s="1"/>
  <c r="AU56" i="1"/>
  <c r="AS56" i="1" s="1"/>
  <c r="AU57" i="1"/>
  <c r="AS57" i="1" s="1"/>
  <c r="AU58" i="1"/>
  <c r="AS58" i="1" s="1"/>
  <c r="AU59" i="1"/>
  <c r="AS59" i="1" s="1"/>
  <c r="AU60" i="1"/>
  <c r="AS60" i="1" s="1"/>
  <c r="K49" i="1" a="1"/>
  <c r="K49" i="1" s="1"/>
  <c r="K50" i="1" a="1"/>
  <c r="K50" i="1" s="1"/>
  <c r="K51" i="1" a="1"/>
  <c r="K51" i="1" s="1"/>
  <c r="K61" i="1" a="1"/>
  <c r="K61" i="1" s="1"/>
  <c r="K62" i="1" a="1"/>
  <c r="K62" i="1" s="1"/>
  <c r="K66" i="1" a="1"/>
  <c r="K66" i="1" s="1"/>
  <c r="K67" i="1" a="1"/>
  <c r="K67" i="1" s="1"/>
  <c r="N49" i="1" a="1"/>
  <c r="N49" i="1" s="1"/>
  <c r="N61" i="1" a="1"/>
  <c r="N61" i="1" s="1"/>
  <c r="N62" i="1" a="1"/>
  <c r="N62" i="1" s="1"/>
  <c r="N66" i="1" a="1"/>
  <c r="N66" i="1" s="1"/>
  <c r="N67" i="1" a="1"/>
  <c r="N67" i="1" s="1"/>
  <c r="Q49" i="1" a="1"/>
  <c r="Q49" i="1" s="1"/>
  <c r="Q50" i="1" a="1"/>
  <c r="Q50" i="1" s="1"/>
  <c r="Q51" i="1" a="1"/>
  <c r="Q51" i="1" s="1"/>
  <c r="Q61" i="1" a="1"/>
  <c r="Q61" i="1" s="1"/>
  <c r="Q62" i="1" a="1"/>
  <c r="Q62" i="1" s="1"/>
  <c r="Q66" i="1" a="1"/>
  <c r="Q66" i="1" s="1"/>
  <c r="Q67" i="1" a="1"/>
  <c r="Q67" i="1" s="1"/>
  <c r="T49" i="1" a="1"/>
  <c r="T49" i="1" s="1"/>
  <c r="T50" i="1" a="1"/>
  <c r="T50" i="1" s="1"/>
  <c r="T51" i="1" a="1"/>
  <c r="T51" i="1" s="1"/>
  <c r="T61" i="1" a="1"/>
  <c r="T61" i="1" s="1"/>
  <c r="T66" i="1" a="1"/>
  <c r="T66" i="1" s="1"/>
  <c r="T67" i="1" a="1"/>
  <c r="T67" i="1" s="1"/>
  <c r="W49" i="1" a="1"/>
  <c r="W49" i="1" s="1"/>
  <c r="W50" i="1" a="1"/>
  <c r="W50" i="1" s="1"/>
  <c r="W51" i="1" a="1"/>
  <c r="W51" i="1" s="1"/>
  <c r="W61" i="1" a="1"/>
  <c r="W61" i="1" s="1"/>
  <c r="W62" i="1" a="1"/>
  <c r="W62" i="1" s="1"/>
  <c r="W67" i="1" a="1"/>
  <c r="W67" i="1" s="1"/>
  <c r="Z49" i="1" a="1"/>
  <c r="Z49" i="1" s="1"/>
  <c r="Z50" i="1" a="1"/>
  <c r="Z50" i="1" s="1"/>
  <c r="Z51" i="1" a="1"/>
  <c r="Z51" i="1" s="1"/>
  <c r="Z61" i="1" a="1"/>
  <c r="Z61" i="1" s="1"/>
  <c r="Z62" i="1" a="1"/>
  <c r="Z62" i="1" s="1"/>
  <c r="Z66" i="1" a="1"/>
  <c r="Z66" i="1" s="1"/>
  <c r="Z67" i="1" a="1"/>
  <c r="Z67" i="1" s="1"/>
  <c r="AC49" i="1" a="1"/>
  <c r="AC49" i="1" s="1"/>
  <c r="AC50" i="1" a="1"/>
  <c r="AC50" i="1" s="1"/>
  <c r="AC51" i="1" a="1"/>
  <c r="AC51" i="1" s="1"/>
  <c r="AC61" i="1" a="1"/>
  <c r="AC61" i="1" s="1"/>
  <c r="AC62" i="1" a="1"/>
  <c r="AC62" i="1" s="1"/>
  <c r="AC66" i="1" a="1"/>
  <c r="AC66" i="1" s="1"/>
  <c r="AC67" i="1" a="1"/>
  <c r="AC67" i="1" s="1"/>
  <c r="AF49" i="1" a="1"/>
  <c r="AF49" i="1" s="1"/>
  <c r="AF50" i="1" a="1"/>
  <c r="AF50" i="1" s="1"/>
  <c r="AF51" i="1" a="1"/>
  <c r="AF51" i="1" s="1"/>
  <c r="AF61" i="1" a="1"/>
  <c r="AF61" i="1" s="1"/>
  <c r="AF62" i="1" a="1"/>
  <c r="AF62" i="1" s="1"/>
  <c r="AF66" i="1" a="1"/>
  <c r="AF66" i="1" s="1"/>
  <c r="AF67" i="1" a="1"/>
  <c r="AF67" i="1" s="1"/>
  <c r="AI49" i="1" a="1"/>
  <c r="AI49" i="1" s="1"/>
  <c r="AI50" i="1" a="1"/>
  <c r="AI50" i="1" s="1"/>
  <c r="AI51" i="1" a="1"/>
  <c r="AI51" i="1" s="1"/>
  <c r="AI61" i="1" a="1"/>
  <c r="AI61" i="1" s="1"/>
  <c r="AI62" i="1" a="1"/>
  <c r="AI62" i="1" s="1"/>
  <c r="AI66" i="1" a="1"/>
  <c r="AI66" i="1" s="1"/>
  <c r="AI67" i="1" a="1"/>
  <c r="AI67" i="1" s="1"/>
  <c r="AL49" i="1" a="1"/>
  <c r="AL49" i="1" s="1"/>
  <c r="AL50" i="1" a="1"/>
  <c r="AL50" i="1" s="1"/>
  <c r="AL51" i="1" a="1"/>
  <c r="AL51" i="1" s="1"/>
  <c r="AL61" i="1" a="1"/>
  <c r="AL61" i="1" s="1"/>
  <c r="AL62" i="1" a="1"/>
  <c r="AL62" i="1" s="1"/>
  <c r="AL66" i="1" a="1"/>
  <c r="AL66" i="1" s="1"/>
  <c r="AL67" i="1" a="1"/>
  <c r="AL67" i="1" s="1"/>
  <c r="AU49" i="1"/>
  <c r="AS49" i="1" s="1"/>
  <c r="AU50" i="1"/>
  <c r="AS50" i="1" s="1"/>
  <c r="AU51" i="1"/>
  <c r="AT51" i="1" s="1"/>
  <c r="AU61" i="1"/>
  <c r="AS61" i="1" s="1"/>
  <c r="AU62" i="1"/>
  <c r="AS62" i="1" s="1"/>
  <c r="AU66" i="1"/>
  <c r="AS66" i="1" s="1"/>
  <c r="AU67" i="1"/>
  <c r="AS67" i="1" s="1"/>
  <c r="K123" i="1" a="1"/>
  <c r="K123" i="1" s="1"/>
  <c r="N123" i="1" a="1"/>
  <c r="N123" i="1" s="1"/>
  <c r="Q123" i="1" a="1"/>
  <c r="Q123" i="1" s="1"/>
  <c r="W123" i="1" a="1"/>
  <c r="W123" i="1" s="1"/>
  <c r="Z123" i="1" a="1"/>
  <c r="Z123" i="1" s="1"/>
  <c r="K124" i="1" a="1"/>
  <c r="K124" i="1" s="1"/>
  <c r="N124" i="1" a="1"/>
  <c r="N124" i="1" s="1"/>
  <c r="Q124" i="1" a="1"/>
  <c r="Q124" i="1" s="1"/>
  <c r="Z124" i="1" a="1"/>
  <c r="Z124" i="1" s="1"/>
  <c r="K125" i="1" a="1"/>
  <c r="K125" i="1" s="1"/>
  <c r="N125" i="1" a="1"/>
  <c r="N125" i="1" s="1"/>
  <c r="Q125" i="1" a="1"/>
  <c r="Q125" i="1" s="1"/>
  <c r="T125" i="1" a="1"/>
  <c r="T125" i="1" s="1"/>
  <c r="W125" i="1" a="1"/>
  <c r="W125" i="1" s="1"/>
  <c r="Z125" i="1" a="1"/>
  <c r="Z125" i="1" s="1"/>
  <c r="K126" i="1" a="1"/>
  <c r="K126" i="1" s="1"/>
  <c r="N126" i="1" a="1"/>
  <c r="N126" i="1" s="1"/>
  <c r="Q126" i="1" a="1"/>
  <c r="Q126" i="1" s="1"/>
  <c r="T126" i="1" a="1"/>
  <c r="T126" i="1" s="1"/>
  <c r="Z126" i="1" a="1"/>
  <c r="Z126" i="1" s="1"/>
  <c r="K127" i="1" a="1"/>
  <c r="K127" i="1" s="1"/>
  <c r="N127" i="1" a="1"/>
  <c r="N127" i="1" s="1"/>
  <c r="Q127" i="1" a="1"/>
  <c r="Q127" i="1" s="1"/>
  <c r="T127" i="1" a="1"/>
  <c r="T127" i="1" s="1"/>
  <c r="Z127" i="1" a="1"/>
  <c r="Z127" i="1" s="1"/>
  <c r="K128" i="1" a="1"/>
  <c r="K128" i="1" s="1"/>
  <c r="N128" i="1" a="1"/>
  <c r="N128" i="1" s="1"/>
  <c r="Q128" i="1" a="1"/>
  <c r="Q128" i="1" s="1"/>
  <c r="T128" i="1" a="1"/>
  <c r="T128" i="1" s="1"/>
  <c r="W128" i="1" a="1"/>
  <c r="W128" i="1" s="1"/>
  <c r="K129" i="1" a="1"/>
  <c r="K129" i="1" s="1"/>
  <c r="N129" i="1" a="1"/>
  <c r="N129" i="1" s="1"/>
  <c r="Q129" i="1" a="1"/>
  <c r="Q129" i="1" s="1"/>
  <c r="T129" i="1" a="1"/>
  <c r="T129" i="1" s="1"/>
  <c r="W129" i="1" a="1"/>
  <c r="W129" i="1" s="1"/>
  <c r="K130" i="1" a="1"/>
  <c r="K130" i="1" s="1"/>
  <c r="N130" i="1" a="1"/>
  <c r="N130" i="1" s="1"/>
  <c r="Q130" i="1" a="1"/>
  <c r="Q130" i="1" s="1"/>
  <c r="T130" i="1" a="1"/>
  <c r="T130" i="1" s="1"/>
  <c r="W130" i="1" a="1"/>
  <c r="W130" i="1" s="1"/>
  <c r="Z130" i="1" a="1"/>
  <c r="Z130" i="1" s="1"/>
  <c r="K131" i="1" a="1"/>
  <c r="K131" i="1" s="1"/>
  <c r="N131" i="1" a="1"/>
  <c r="N131" i="1" s="1"/>
  <c r="Q131" i="1" a="1"/>
  <c r="Q131" i="1" s="1"/>
  <c r="T131" i="1" a="1"/>
  <c r="T131" i="1" s="1"/>
  <c r="W131" i="1" a="1"/>
  <c r="W131" i="1" s="1"/>
  <c r="K132" i="1" a="1"/>
  <c r="K132" i="1" s="1"/>
  <c r="N132" i="1" a="1"/>
  <c r="N132" i="1" s="1"/>
  <c r="Q132" i="1" a="1"/>
  <c r="Q132" i="1" s="1"/>
  <c r="T132" i="1" a="1"/>
  <c r="T132" i="1" s="1"/>
  <c r="K133" i="1" a="1"/>
  <c r="K133" i="1" s="1"/>
  <c r="N133" i="1" a="1"/>
  <c r="N133" i="1" s="1"/>
  <c r="Q133" i="1" a="1"/>
  <c r="Q133" i="1" s="1"/>
  <c r="T133" i="1" a="1"/>
  <c r="T133" i="1" s="1"/>
  <c r="W133" i="1" a="1"/>
  <c r="W133" i="1" s="1"/>
  <c r="Z133" i="1" a="1"/>
  <c r="Z133" i="1" s="1"/>
  <c r="K134" i="1" a="1"/>
  <c r="K134" i="1" s="1"/>
  <c r="N134" i="1" a="1"/>
  <c r="N134" i="1" s="1"/>
  <c r="Q134" i="1" a="1"/>
  <c r="Q134" i="1" s="1"/>
  <c r="T134" i="1" a="1"/>
  <c r="T134" i="1" s="1"/>
  <c r="W134" i="1" a="1"/>
  <c r="W134" i="1" s="1"/>
  <c r="Z134" i="1" a="1"/>
  <c r="Z134" i="1" s="1"/>
  <c r="K114" i="1" a="1"/>
  <c r="K114" i="1" s="1"/>
  <c r="N114" i="1" a="1"/>
  <c r="N114" i="1" s="1"/>
  <c r="Q114" i="1" a="1"/>
  <c r="Q114" i="1" s="1"/>
  <c r="T114" i="1" a="1"/>
  <c r="T114" i="1" s="1"/>
  <c r="W114" i="1" a="1"/>
  <c r="W114" i="1" s="1"/>
  <c r="K115" i="1" a="1"/>
  <c r="K115" i="1" s="1"/>
  <c r="N115" i="1" a="1"/>
  <c r="N115" i="1" s="1"/>
  <c r="Q115" i="1" a="1"/>
  <c r="Q115" i="1" s="1"/>
  <c r="T115" i="1" a="1"/>
  <c r="T115" i="1" s="1"/>
  <c r="W115" i="1" a="1"/>
  <c r="W115" i="1" s="1"/>
  <c r="K116" i="1" a="1"/>
  <c r="K116" i="1" s="1"/>
  <c r="N116" i="1" a="1"/>
  <c r="N116" i="1" s="1"/>
  <c r="Q116" i="1" a="1"/>
  <c r="Q116" i="1" s="1"/>
  <c r="T116" i="1" a="1"/>
  <c r="T116" i="1" s="1"/>
  <c r="K117" i="1" a="1"/>
  <c r="K117" i="1" s="1"/>
  <c r="N117" i="1" a="1"/>
  <c r="N117" i="1" s="1"/>
  <c r="Q117" i="1" a="1"/>
  <c r="Q117" i="1" s="1"/>
  <c r="T117" i="1" a="1"/>
  <c r="T117" i="1" s="1"/>
  <c r="W117" i="1" a="1"/>
  <c r="W117" i="1" s="1"/>
  <c r="Z117" i="1" a="1"/>
  <c r="Z117" i="1" s="1"/>
  <c r="K118" i="1" a="1"/>
  <c r="K118" i="1" s="1"/>
  <c r="N118" i="1" a="1"/>
  <c r="N118" i="1" s="1"/>
  <c r="Q118" i="1" a="1"/>
  <c r="Q118" i="1" s="1"/>
  <c r="T118" i="1" a="1"/>
  <c r="T118" i="1" s="1"/>
  <c r="W118" i="1" a="1"/>
  <c r="W118" i="1" s="1"/>
  <c r="Z118" i="1" a="1"/>
  <c r="Z118" i="1" s="1"/>
  <c r="K106" i="1" a="1"/>
  <c r="K106" i="1" s="1"/>
  <c r="N106" i="1" a="1"/>
  <c r="N106" i="1" s="1"/>
  <c r="Q106" i="1" a="1"/>
  <c r="Q106" i="1" s="1"/>
  <c r="T106" i="1" a="1"/>
  <c r="T106" i="1" s="1"/>
  <c r="W106" i="1" a="1"/>
  <c r="W106" i="1" s="1"/>
  <c r="Z106" i="1" a="1"/>
  <c r="Z106" i="1" s="1"/>
  <c r="K107" i="1" a="1"/>
  <c r="K107" i="1" s="1"/>
  <c r="N107" i="1" a="1"/>
  <c r="N107" i="1" s="1"/>
  <c r="Q107" i="1" a="1"/>
  <c r="Q107" i="1" s="1"/>
  <c r="W107" i="1" a="1"/>
  <c r="W107" i="1" s="1"/>
  <c r="Z107" i="1" a="1"/>
  <c r="Z107" i="1" s="1"/>
  <c r="K108" i="1" a="1"/>
  <c r="K108" i="1" s="1"/>
  <c r="N108" i="1" a="1"/>
  <c r="N108" i="1" s="1"/>
  <c r="Q108" i="1" a="1"/>
  <c r="Q108" i="1" s="1"/>
  <c r="T108" i="1" a="1"/>
  <c r="T108" i="1" s="1"/>
  <c r="Z108" i="1" a="1"/>
  <c r="Z108" i="1" s="1"/>
  <c r="K109" i="1" a="1"/>
  <c r="K109" i="1" s="1"/>
  <c r="N109" i="1" a="1"/>
  <c r="N109" i="1" s="1"/>
  <c r="Q109" i="1" a="1"/>
  <c r="Q109" i="1" s="1"/>
  <c r="T109" i="1" a="1"/>
  <c r="T109" i="1" s="1"/>
  <c r="Z109" i="1" a="1"/>
  <c r="Z109" i="1" s="1"/>
  <c r="K110" i="1" a="1"/>
  <c r="K110" i="1" s="1"/>
  <c r="N110" i="1" a="1"/>
  <c r="N110" i="1" s="1"/>
  <c r="Q110" i="1" a="1"/>
  <c r="Q110" i="1" s="1"/>
  <c r="T110" i="1" a="1"/>
  <c r="T110" i="1" s="1"/>
  <c r="W110" i="1" a="1"/>
  <c r="W110" i="1" s="1"/>
  <c r="Z110" i="1" a="1"/>
  <c r="Z110" i="1" s="1"/>
  <c r="K111" i="1" a="1"/>
  <c r="K111" i="1" s="1"/>
  <c r="N111" i="1" a="1"/>
  <c r="N111" i="1" s="1"/>
  <c r="Q111" i="1" a="1"/>
  <c r="Q111" i="1" s="1"/>
  <c r="T111" i="1" a="1"/>
  <c r="T111" i="1" s="1"/>
  <c r="Z111" i="1" a="1"/>
  <c r="Z111" i="1" s="1"/>
  <c r="K112" i="1" a="1"/>
  <c r="K112" i="1" s="1"/>
  <c r="N112" i="1" a="1"/>
  <c r="N112" i="1" s="1"/>
  <c r="Q112" i="1" a="1"/>
  <c r="Q112" i="1" s="1"/>
  <c r="T112" i="1" a="1"/>
  <c r="T112" i="1" s="1"/>
  <c r="W112" i="1" a="1"/>
  <c r="W112" i="1" s="1"/>
  <c r="Z112" i="1" a="1"/>
  <c r="Z112" i="1" s="1"/>
  <c r="K113" i="1" a="1"/>
  <c r="K113" i="1" s="1"/>
  <c r="N113" i="1" a="1"/>
  <c r="N113" i="1" s="1"/>
  <c r="Q113" i="1" a="1"/>
  <c r="Q113" i="1" s="1"/>
  <c r="T113" i="1" a="1"/>
  <c r="T113" i="1" s="1"/>
  <c r="W113" i="1" a="1"/>
  <c r="W113" i="1" s="1"/>
  <c r="K96" i="1" a="1"/>
  <c r="K96" i="1" s="1"/>
  <c r="N96" i="1" a="1"/>
  <c r="N96" i="1" s="1"/>
  <c r="Q96" i="1" a="1"/>
  <c r="Q96" i="1" s="1"/>
  <c r="T96" i="1" a="1"/>
  <c r="T96" i="1" s="1"/>
  <c r="W96" i="1" a="1"/>
  <c r="W96" i="1" s="1"/>
  <c r="Z96" i="1" a="1"/>
  <c r="Z96" i="1" s="1"/>
  <c r="K97" i="1" a="1"/>
  <c r="K97" i="1" s="1"/>
  <c r="N97" i="1" a="1"/>
  <c r="N97" i="1" s="1"/>
  <c r="Q97" i="1" a="1"/>
  <c r="Q97" i="1" s="1"/>
  <c r="T97" i="1" a="1"/>
  <c r="T97" i="1" s="1"/>
  <c r="W97" i="1" a="1"/>
  <c r="W97" i="1" s="1"/>
  <c r="K98" i="1" a="1"/>
  <c r="K98" i="1" s="1"/>
  <c r="N98" i="1" a="1"/>
  <c r="N98" i="1" s="1"/>
  <c r="Q98" i="1" a="1"/>
  <c r="Q98" i="1" s="1"/>
  <c r="T98" i="1" a="1"/>
  <c r="T98" i="1" s="1"/>
  <c r="W98" i="1" a="1"/>
  <c r="W98" i="1" s="1"/>
  <c r="K99" i="1" a="1"/>
  <c r="K99" i="1" s="1"/>
  <c r="N99" i="1" a="1"/>
  <c r="N99" i="1" s="1"/>
  <c r="Q99" i="1" a="1"/>
  <c r="Q99" i="1" s="1"/>
  <c r="T99" i="1" a="1"/>
  <c r="T99" i="1" s="1"/>
  <c r="K100" i="1" a="1"/>
  <c r="K100" i="1" s="1"/>
  <c r="N100" i="1" a="1"/>
  <c r="N100" i="1" s="1"/>
  <c r="Q100" i="1" a="1"/>
  <c r="Q100" i="1" s="1"/>
  <c r="T100" i="1" a="1"/>
  <c r="T100" i="1" s="1"/>
  <c r="W100" i="1" a="1"/>
  <c r="W100" i="1" s="1"/>
  <c r="Z100" i="1" a="1"/>
  <c r="Z100" i="1" s="1"/>
  <c r="K101" i="1" a="1"/>
  <c r="K101" i="1" s="1"/>
  <c r="N101" i="1" a="1"/>
  <c r="N101" i="1" s="1"/>
  <c r="Q101" i="1" a="1"/>
  <c r="Q101" i="1" s="1"/>
  <c r="T101" i="1" a="1"/>
  <c r="T101" i="1" s="1"/>
  <c r="W101" i="1" a="1"/>
  <c r="W101" i="1" s="1"/>
  <c r="Z101" i="1" a="1"/>
  <c r="Z101" i="1" s="1"/>
  <c r="K90" i="1" a="1"/>
  <c r="K90" i="1" s="1"/>
  <c r="N90" i="1" a="1"/>
  <c r="N90" i="1" s="1"/>
  <c r="Q90" i="1" a="1"/>
  <c r="Q90" i="1" s="1"/>
  <c r="T90" i="1" a="1"/>
  <c r="T90" i="1" s="1"/>
  <c r="W90" i="1" a="1"/>
  <c r="W90" i="1" s="1"/>
  <c r="Z90" i="1" a="1"/>
  <c r="Z90" i="1" s="1"/>
  <c r="K91" i="1" a="1"/>
  <c r="K91" i="1" s="1"/>
  <c r="N91" i="1" a="1"/>
  <c r="N91" i="1" s="1"/>
  <c r="Q91" i="1" a="1"/>
  <c r="Q91" i="1" s="1"/>
  <c r="W91" i="1" a="1"/>
  <c r="W91" i="1" s="1"/>
  <c r="Z91" i="1" a="1"/>
  <c r="Z91" i="1" s="1"/>
  <c r="K92" i="1" a="1"/>
  <c r="K92" i="1" s="1"/>
  <c r="N92" i="1" a="1"/>
  <c r="N92" i="1" s="1"/>
  <c r="Q92" i="1" a="1"/>
  <c r="Q92" i="1" s="1"/>
  <c r="T92" i="1" a="1"/>
  <c r="T92" i="1" s="1"/>
  <c r="Z92" i="1" a="1"/>
  <c r="Z92" i="1" s="1"/>
  <c r="K93" i="1" a="1"/>
  <c r="K93" i="1" s="1"/>
  <c r="N93" i="1" a="1"/>
  <c r="N93" i="1" s="1"/>
  <c r="Q93" i="1" a="1"/>
  <c r="Q93" i="1" s="1"/>
  <c r="T93" i="1" a="1"/>
  <c r="T93" i="1" s="1"/>
  <c r="Z93" i="1" a="1"/>
  <c r="Z93" i="1" s="1"/>
  <c r="K94" i="1" a="1"/>
  <c r="K94" i="1" s="1"/>
  <c r="N94" i="1" a="1"/>
  <c r="N94" i="1" s="1"/>
  <c r="Q94" i="1" a="1"/>
  <c r="Q94" i="1" s="1"/>
  <c r="T94" i="1" a="1"/>
  <c r="T94" i="1" s="1"/>
  <c r="Z94" i="1" a="1"/>
  <c r="Z94" i="1" s="1"/>
  <c r="K95" i="1" a="1"/>
  <c r="K95" i="1" s="1"/>
  <c r="N95" i="1" a="1"/>
  <c r="N95" i="1" s="1"/>
  <c r="Q95" i="1" a="1"/>
  <c r="Q95" i="1" s="1"/>
  <c r="T95" i="1" a="1"/>
  <c r="T95" i="1" s="1"/>
  <c r="W95" i="1" a="1"/>
  <c r="W95" i="1" s="1"/>
  <c r="K76" i="1" a="1"/>
  <c r="K76" i="1" s="1"/>
  <c r="N76" i="1" a="1"/>
  <c r="N76" i="1" s="1"/>
  <c r="Q76" i="1" a="1"/>
  <c r="Q76" i="1" s="1"/>
  <c r="T76" i="1" a="1"/>
  <c r="T76" i="1" s="1"/>
  <c r="W76" i="1" a="1"/>
  <c r="W76" i="1" s="1"/>
  <c r="Z76" i="1" a="1"/>
  <c r="Z76" i="1" s="1"/>
  <c r="N47" i="1" a="1"/>
  <c r="N47" i="1" s="1"/>
  <c r="Q47" i="1" a="1"/>
  <c r="Q47" i="1" s="1"/>
  <c r="T47" i="1" a="1"/>
  <c r="T47" i="1" s="1"/>
  <c r="W47" i="1" a="1"/>
  <c r="W47" i="1" s="1"/>
  <c r="Z47" i="1" a="1"/>
  <c r="Z47" i="1" s="1"/>
  <c r="K68" i="1" a="1"/>
  <c r="K68" i="1" s="1"/>
  <c r="N68" i="1" a="1"/>
  <c r="N68" i="1" s="1"/>
  <c r="Q68" i="1" a="1"/>
  <c r="Q68" i="1" s="1"/>
  <c r="T68" i="1" a="1"/>
  <c r="T68" i="1" s="1"/>
  <c r="Z68" i="1" a="1"/>
  <c r="Z68" i="1" s="1"/>
  <c r="K69" i="1" a="1"/>
  <c r="K69" i="1" s="1"/>
  <c r="N69" i="1" a="1"/>
  <c r="N69" i="1" s="1"/>
  <c r="Q69" i="1" a="1"/>
  <c r="Q69" i="1" s="1"/>
  <c r="T69" i="1" a="1"/>
  <c r="T69" i="1" s="1"/>
  <c r="W69" i="1" a="1"/>
  <c r="W69" i="1" s="1"/>
  <c r="Z69" i="1" a="1"/>
  <c r="Z69" i="1" s="1"/>
  <c r="K70" i="1" a="1"/>
  <c r="K70" i="1" s="1"/>
  <c r="N70" i="1" a="1"/>
  <c r="N70" i="1" s="1"/>
  <c r="Q70" i="1" a="1"/>
  <c r="Q70" i="1" s="1"/>
  <c r="T70" i="1" a="1"/>
  <c r="T70" i="1" s="1"/>
  <c r="W70" i="1" a="1"/>
  <c r="W70" i="1" s="1"/>
  <c r="Z70" i="1" a="1"/>
  <c r="Z70" i="1" s="1"/>
  <c r="K71" i="1" a="1"/>
  <c r="K71" i="1" s="1"/>
  <c r="N71" i="1" a="1"/>
  <c r="N71" i="1" s="1"/>
  <c r="Q71" i="1" a="1"/>
  <c r="Q71" i="1" s="1"/>
  <c r="T71" i="1" a="1"/>
  <c r="T71" i="1" s="1"/>
  <c r="W71" i="1" a="1"/>
  <c r="W71" i="1" s="1"/>
  <c r="K72" i="1" a="1"/>
  <c r="K72" i="1" s="1"/>
  <c r="N72" i="1" a="1"/>
  <c r="N72" i="1" s="1"/>
  <c r="Q72" i="1" a="1"/>
  <c r="Q72" i="1" s="1"/>
  <c r="T72" i="1" a="1"/>
  <c r="T72" i="1" s="1"/>
  <c r="W72" i="1" a="1"/>
  <c r="W72" i="1" s="1"/>
  <c r="K73" i="1" a="1"/>
  <c r="K73" i="1" s="1"/>
  <c r="N73" i="1" a="1"/>
  <c r="N73" i="1" s="1"/>
  <c r="Q73" i="1" a="1"/>
  <c r="Q73" i="1" s="1"/>
  <c r="T73" i="1" a="1"/>
  <c r="T73" i="1" s="1"/>
  <c r="W73" i="1" a="1"/>
  <c r="W73" i="1" s="1"/>
  <c r="K74" i="1" a="1"/>
  <c r="K74" i="1" s="1"/>
  <c r="N74" i="1" a="1"/>
  <c r="N74" i="1" s="1"/>
  <c r="Q74" i="1" a="1"/>
  <c r="Q74" i="1" s="1"/>
  <c r="T74" i="1" a="1"/>
  <c r="T74" i="1" s="1"/>
  <c r="W74" i="1" a="1"/>
  <c r="W74" i="1" s="1"/>
  <c r="Z74" i="1" a="1"/>
  <c r="Z74" i="1" s="1"/>
  <c r="K75" i="1" a="1"/>
  <c r="K75" i="1" s="1"/>
  <c r="N75" i="1" a="1"/>
  <c r="N75" i="1" s="1"/>
  <c r="Q75" i="1" a="1"/>
  <c r="Q75" i="1" s="1"/>
  <c r="T75" i="1" a="1"/>
  <c r="T75" i="1" s="1"/>
  <c r="W75" i="1" a="1"/>
  <c r="W75" i="1" s="1"/>
  <c r="Z75" i="1" a="1"/>
  <c r="Z75" i="1" s="1"/>
  <c r="Q39" i="1" a="1"/>
  <c r="Q39" i="1" s="1"/>
  <c r="T39" i="1" a="1"/>
  <c r="T39" i="1" s="1"/>
  <c r="W39" i="1" a="1"/>
  <c r="W39" i="1" s="1"/>
  <c r="Z39" i="1" a="1"/>
  <c r="Z39" i="1" s="1"/>
  <c r="K40" i="1" a="1"/>
  <c r="K40" i="1" s="1"/>
  <c r="N40" i="1" a="1"/>
  <c r="N40" i="1" s="1"/>
  <c r="Q40" i="1" a="1"/>
  <c r="Q40" i="1" s="1"/>
  <c r="T40" i="1" a="1"/>
  <c r="T40" i="1" s="1"/>
  <c r="W40" i="1" a="1"/>
  <c r="W40" i="1" s="1"/>
  <c r="Z40" i="1" a="1"/>
  <c r="Z40" i="1" s="1"/>
  <c r="K41" i="1" a="1"/>
  <c r="K41" i="1" s="1"/>
  <c r="N41" i="1" a="1"/>
  <c r="N41" i="1" s="1"/>
  <c r="Q41" i="1" a="1"/>
  <c r="Q41" i="1" s="1"/>
  <c r="T41" i="1" a="1"/>
  <c r="T41" i="1" s="1"/>
  <c r="W41" i="1" a="1"/>
  <c r="W41" i="1" s="1"/>
  <c r="Z41" i="1" a="1"/>
  <c r="Z41" i="1" s="1"/>
  <c r="N23" i="1" a="1"/>
  <c r="N23" i="1" s="1"/>
  <c r="Q23" i="1" a="1"/>
  <c r="Q23" i="1" s="1"/>
  <c r="T23" i="1" a="1"/>
  <c r="T23" i="1" s="1"/>
  <c r="W23" i="1" a="1"/>
  <c r="W23" i="1" s="1"/>
  <c r="Z23" i="1" a="1"/>
  <c r="Z23" i="1" s="1"/>
  <c r="N24" i="1" a="1"/>
  <c r="N24" i="1" s="1"/>
  <c r="Q24" i="1" a="1"/>
  <c r="Q24" i="1" s="1"/>
  <c r="T24" i="1" a="1"/>
  <c r="T24" i="1" s="1"/>
  <c r="W24" i="1" a="1"/>
  <c r="W24" i="1" s="1"/>
  <c r="Z24" i="1" a="1"/>
  <c r="Z24" i="1" s="1"/>
  <c r="K22" i="1" a="1"/>
  <c r="K22" i="1" s="1"/>
  <c r="Z22" i="1" a="1"/>
  <c r="Z22" i="1" s="1"/>
  <c r="Z122" i="1" a="1"/>
  <c r="Z122" i="1" s="1"/>
  <c r="K29" i="1" a="1"/>
  <c r="K29" i="1" s="1"/>
  <c r="Q46" i="1" a="1"/>
  <c r="Q46" i="1" s="1"/>
  <c r="K17" i="1" a="1"/>
  <c r="K17" i="1" s="1"/>
  <c r="Z105" i="1" a="1"/>
  <c r="Z105" i="1" s="1"/>
  <c r="Z89" i="1" a="1"/>
  <c r="Z89" i="1" s="1"/>
  <c r="K23" i="1" a="1"/>
  <c r="K23" i="1" s="1"/>
  <c r="K24" i="1" a="1"/>
  <c r="K24" i="1" s="1"/>
  <c r="B125" i="9"/>
  <c r="C125" i="9"/>
  <c r="D125" i="9"/>
  <c r="E125" i="9"/>
  <c r="F125" i="9"/>
  <c r="G125" i="9"/>
  <c r="H125" i="9"/>
  <c r="I125" i="9"/>
  <c r="B124" i="9"/>
  <c r="C124" i="9"/>
  <c r="D124" i="9"/>
  <c r="E124" i="9"/>
  <c r="F124" i="9"/>
  <c r="G124" i="9"/>
  <c r="H124" i="9"/>
  <c r="I124" i="9"/>
  <c r="B117" i="9"/>
  <c r="C117" i="9"/>
  <c r="D117" i="9"/>
  <c r="E117" i="9"/>
  <c r="F117" i="9"/>
  <c r="G117" i="9"/>
  <c r="H117" i="9"/>
  <c r="I117" i="9"/>
  <c r="B126" i="9"/>
  <c r="B127" i="9"/>
  <c r="B128" i="9"/>
  <c r="B129" i="9"/>
  <c r="C126" i="9"/>
  <c r="C127" i="9"/>
  <c r="C128" i="9"/>
  <c r="C129" i="9"/>
  <c r="D126" i="9"/>
  <c r="D127" i="9"/>
  <c r="D128" i="9"/>
  <c r="D129" i="9"/>
  <c r="E126" i="9"/>
  <c r="E127" i="9"/>
  <c r="E128" i="9"/>
  <c r="E129" i="9"/>
  <c r="F126" i="9"/>
  <c r="F127" i="9"/>
  <c r="F128" i="9"/>
  <c r="F129" i="9"/>
  <c r="G126" i="9"/>
  <c r="G127" i="9"/>
  <c r="G128" i="9"/>
  <c r="G129" i="9"/>
  <c r="H126" i="9"/>
  <c r="H127" i="9"/>
  <c r="H128" i="9"/>
  <c r="H129" i="9"/>
  <c r="I126" i="9"/>
  <c r="I127" i="9"/>
  <c r="I128" i="9"/>
  <c r="I129" i="9"/>
  <c r="B108" i="9"/>
  <c r="B109" i="9"/>
  <c r="B110" i="9"/>
  <c r="C108" i="9"/>
  <c r="C109" i="9"/>
  <c r="C110" i="9"/>
  <c r="D108" i="9"/>
  <c r="D109" i="9"/>
  <c r="D110" i="9"/>
  <c r="E108" i="9"/>
  <c r="E109" i="9"/>
  <c r="E110" i="9"/>
  <c r="F108" i="9"/>
  <c r="F109" i="9"/>
  <c r="F110" i="9"/>
  <c r="G108" i="9"/>
  <c r="G109" i="9"/>
  <c r="G110" i="9"/>
  <c r="H108" i="9"/>
  <c r="H109" i="9"/>
  <c r="H110" i="9"/>
  <c r="I108" i="9"/>
  <c r="W108" i="9" s="1" a="1"/>
  <c r="W108" i="9" s="1"/>
  <c r="I109" i="9"/>
  <c r="I110" i="9"/>
  <c r="B94" i="9"/>
  <c r="C94" i="9"/>
  <c r="D94" i="9"/>
  <c r="E94" i="9"/>
  <c r="F94" i="9"/>
  <c r="G94" i="9"/>
  <c r="H94" i="9"/>
  <c r="I94" i="9"/>
  <c r="B92" i="9"/>
  <c r="B93" i="9"/>
  <c r="C92" i="9"/>
  <c r="C93" i="9"/>
  <c r="D92" i="9"/>
  <c r="D93" i="9"/>
  <c r="E92" i="9"/>
  <c r="E93" i="9"/>
  <c r="F92" i="9"/>
  <c r="F93" i="9"/>
  <c r="G92" i="9"/>
  <c r="G93" i="9"/>
  <c r="H92" i="9"/>
  <c r="H93" i="9"/>
  <c r="I92" i="9"/>
  <c r="I93" i="9"/>
  <c r="F7" i="9"/>
  <c r="M6" i="1"/>
  <c r="P6" i="1"/>
  <c r="S6" i="1"/>
  <c r="V6" i="1"/>
  <c r="Y6" i="1"/>
  <c r="AB6" i="1"/>
  <c r="AE6" i="1"/>
  <c r="AH6" i="1"/>
  <c r="AK6" i="1"/>
  <c r="M7" i="1"/>
  <c r="P7" i="1"/>
  <c r="S7" i="1"/>
  <c r="V7" i="1"/>
  <c r="Y7" i="1"/>
  <c r="AB7" i="1"/>
  <c r="AE7" i="1"/>
  <c r="AH7" i="1"/>
  <c r="AK7" i="1"/>
  <c r="M8" i="1"/>
  <c r="P8" i="1"/>
  <c r="S8" i="1"/>
  <c r="V8" i="1"/>
  <c r="Y8" i="1"/>
  <c r="AB8" i="1"/>
  <c r="AE8" i="1"/>
  <c r="AH8" i="1"/>
  <c r="AK8" i="1"/>
  <c r="J6" i="1"/>
  <c r="J8" i="1"/>
  <c r="J7" i="1"/>
  <c r="AC23" i="1" a="1"/>
  <c r="AC23" i="1" s="1"/>
  <c r="AF23" i="1" a="1"/>
  <c r="AF23" i="1" s="1"/>
  <c r="AI23" i="1" a="1"/>
  <c r="AI23" i="1" s="1"/>
  <c r="AL23" i="1" a="1"/>
  <c r="AL23" i="1" s="1"/>
  <c r="AC24" i="1" a="1"/>
  <c r="AC24" i="1" s="1"/>
  <c r="AF24" i="1" a="1"/>
  <c r="AF24" i="1" s="1"/>
  <c r="AI24" i="1" a="1"/>
  <c r="AI24" i="1" s="1"/>
  <c r="AL24" i="1" a="1"/>
  <c r="AL24" i="1" s="1"/>
  <c r="AR63" i="1" l="1"/>
  <c r="AQ63" i="1" s="1"/>
  <c r="AS64" i="9"/>
  <c r="AP37" i="1"/>
  <c r="AV37" i="1" s="1"/>
  <c r="AT37" i="9"/>
  <c r="AP37" i="9" s="1"/>
  <c r="AP36" i="1"/>
  <c r="AV36" i="1" s="1"/>
  <c r="AS38" i="9"/>
  <c r="AP38" i="9" s="1"/>
  <c r="AP35" i="1"/>
  <c r="AV35" i="1" s="1"/>
  <c r="AS35" i="9"/>
  <c r="AT36" i="9"/>
  <c r="AR65" i="1"/>
  <c r="AQ65" i="1" s="1"/>
  <c r="AP65" i="1"/>
  <c r="AV65" i="1" s="1"/>
  <c r="AV64" i="1"/>
  <c r="AR64" i="1"/>
  <c r="AQ64" i="1" s="1"/>
  <c r="AV63" i="1"/>
  <c r="AN64" i="9"/>
  <c r="AO64" i="9" s="1"/>
  <c r="AV38" i="1"/>
  <c r="AV34" i="1"/>
  <c r="AV33" i="1"/>
  <c r="AV32" i="1"/>
  <c r="AR34" i="1"/>
  <c r="AQ34" i="1" s="1"/>
  <c r="AT34" i="9"/>
  <c r="AP34" i="9" s="1"/>
  <c r="AT35" i="9"/>
  <c r="AR32" i="1"/>
  <c r="AQ32" i="1" s="1"/>
  <c r="AS32" i="9"/>
  <c r="AP32" i="9" s="1"/>
  <c r="AR38" i="1"/>
  <c r="AQ38" i="1" s="1"/>
  <c r="AR35" i="1"/>
  <c r="AQ35" i="1" s="1"/>
  <c r="AS36" i="9"/>
  <c r="AR33" i="1"/>
  <c r="AQ33" i="1" s="1"/>
  <c r="AS33" i="9"/>
  <c r="AP33" i="9" s="1"/>
  <c r="AN33" i="9"/>
  <c r="AO33" i="9" s="1"/>
  <c r="AR37" i="1"/>
  <c r="AQ37" i="1" s="1"/>
  <c r="AR31" i="1"/>
  <c r="AQ31" i="1" s="1"/>
  <c r="AP31" i="1"/>
  <c r="AV31" i="1" s="1"/>
  <c r="AS31" i="9"/>
  <c r="AP31" i="9" s="1"/>
  <c r="AR30" i="1"/>
  <c r="AQ30" i="1" s="1"/>
  <c r="AT30" i="9"/>
  <c r="AP30" i="9" s="1"/>
  <c r="AP30" i="1"/>
  <c r="AV30" i="1" s="1"/>
  <c r="AR21" i="1"/>
  <c r="AQ21" i="1" s="1"/>
  <c r="AS21" i="9"/>
  <c r="AR20" i="1"/>
  <c r="AQ20" i="1" s="1"/>
  <c r="AP20" i="1"/>
  <c r="AV20" i="1" s="1"/>
  <c r="AS20" i="9"/>
  <c r="AP20" i="9" s="1"/>
  <c r="AR19" i="1"/>
  <c r="AQ19" i="1" s="1"/>
  <c r="AS19" i="9"/>
  <c r="AP19" i="9" s="1"/>
  <c r="AP19" i="1"/>
  <c r="AV19" i="1" s="1"/>
  <c r="AR18" i="1"/>
  <c r="AQ18" i="1" s="1"/>
  <c r="AS18" i="9"/>
  <c r="AN39" i="9"/>
  <c r="AO39" i="9" s="1"/>
  <c r="AN66" i="9"/>
  <c r="AO66" i="9" s="1"/>
  <c r="AN18" i="9"/>
  <c r="AO18" i="9" s="1"/>
  <c r="AN32" i="9"/>
  <c r="AO32" i="9" s="1"/>
  <c r="AN65" i="9"/>
  <c r="AO65" i="9" s="1"/>
  <c r="AN31" i="9"/>
  <c r="AO31" i="9" s="1"/>
  <c r="AN20" i="9"/>
  <c r="AO20" i="9" s="1"/>
  <c r="AN38" i="9"/>
  <c r="AN35" i="9"/>
  <c r="AO35" i="9" s="1"/>
  <c r="AN36" i="9"/>
  <c r="AO36" i="9" s="1"/>
  <c r="AN30" i="9"/>
  <c r="AO30" i="9" s="1"/>
  <c r="AN34" i="9"/>
  <c r="AO34" i="9" s="1"/>
  <c r="AN161" i="9"/>
  <c r="N156" i="9"/>
  <c r="Z156" i="9"/>
  <c r="AN37" i="9"/>
  <c r="AN19" i="9"/>
  <c r="AO19" i="9" s="1"/>
  <c r="AN21" i="9"/>
  <c r="AO21" i="9" s="1"/>
  <c r="Z136" i="9"/>
  <c r="AT141" i="1"/>
  <c r="AS58" i="9"/>
  <c r="AS158" i="1"/>
  <c r="AS143" i="1"/>
  <c r="AR143" i="1" s="1"/>
  <c r="AQ143" i="1" s="1"/>
  <c r="AT149" i="1"/>
  <c r="AS159" i="1"/>
  <c r="AN62" i="9"/>
  <c r="AO62" i="9" s="1"/>
  <c r="Q136" i="1"/>
  <c r="AS56" i="9"/>
  <c r="AN146" i="9"/>
  <c r="AO136" i="1"/>
  <c r="AN151" i="9"/>
  <c r="AS55" i="9"/>
  <c r="AN171" i="9"/>
  <c r="AT142" i="1"/>
  <c r="AS150" i="1"/>
  <c r="AT151" i="1"/>
  <c r="AS174" i="1"/>
  <c r="AR174" i="1" s="1"/>
  <c r="AQ174" i="1" s="1"/>
  <c r="AN143" i="9"/>
  <c r="AN170" i="9"/>
  <c r="AT162" i="1"/>
  <c r="AR162" i="1" s="1"/>
  <c r="AQ162" i="1" s="1"/>
  <c r="AO156" i="1"/>
  <c r="AN147" i="9"/>
  <c r="AN163" i="9"/>
  <c r="AI156" i="1"/>
  <c r="AN167" i="1"/>
  <c r="AN49" i="9"/>
  <c r="AN63" i="9"/>
  <c r="AO63" i="9" s="1"/>
  <c r="AN67" i="9"/>
  <c r="AO67" i="9" s="1"/>
  <c r="AN172" i="9"/>
  <c r="AN166" i="1"/>
  <c r="AN170" i="1"/>
  <c r="AN140" i="9"/>
  <c r="AN167" i="9"/>
  <c r="AN160" i="9"/>
  <c r="T156" i="9"/>
  <c r="AN168" i="9"/>
  <c r="AN165" i="9"/>
  <c r="AN164" i="9"/>
  <c r="Q156" i="9"/>
  <c r="AL156" i="9"/>
  <c r="AN159" i="9"/>
  <c r="AN174" i="9"/>
  <c r="AN173" i="9"/>
  <c r="AN166" i="9"/>
  <c r="AN169" i="9"/>
  <c r="AI156" i="9"/>
  <c r="AN162" i="9"/>
  <c r="AC156" i="9"/>
  <c r="W156" i="9"/>
  <c r="AV158" i="9"/>
  <c r="AP156" i="9"/>
  <c r="AF156" i="9"/>
  <c r="K156" i="9"/>
  <c r="AN158" i="9"/>
  <c r="AN152" i="9"/>
  <c r="AN148" i="9"/>
  <c r="AN145" i="9"/>
  <c r="AN144" i="9"/>
  <c r="AF136" i="9"/>
  <c r="AI136" i="9"/>
  <c r="AN150" i="9"/>
  <c r="AN154" i="9"/>
  <c r="AN139" i="9"/>
  <c r="N136" i="9"/>
  <c r="AC136" i="9"/>
  <c r="AN149" i="9"/>
  <c r="AN153" i="9"/>
  <c r="AL136" i="9"/>
  <c r="AN141" i="9"/>
  <c r="Q136" i="9"/>
  <c r="AN142" i="9"/>
  <c r="AP136" i="9"/>
  <c r="AV138" i="9"/>
  <c r="AN138" i="9"/>
  <c r="K136" i="9"/>
  <c r="AU136" i="9"/>
  <c r="T136" i="9"/>
  <c r="W136" i="9"/>
  <c r="AU156" i="9"/>
  <c r="AN59" i="9"/>
  <c r="AO59" i="9" s="1"/>
  <c r="AN68" i="9"/>
  <c r="AO68" i="9" s="1"/>
  <c r="AN58" i="9"/>
  <c r="AO58" i="9" s="1"/>
  <c r="AN53" i="9"/>
  <c r="AO53" i="9" s="1"/>
  <c r="N94" i="9" a="1"/>
  <c r="N94" i="9" s="1"/>
  <c r="Q94" i="9" a="1"/>
  <c r="Q94" i="9" s="1"/>
  <c r="K94" i="9" a="1"/>
  <c r="K94" i="9" s="1"/>
  <c r="AI94" i="9" a="1"/>
  <c r="AI94" i="9" s="1"/>
  <c r="AL94" i="9" a="1"/>
  <c r="AL94" i="9" s="1"/>
  <c r="Z94" i="9" a="1"/>
  <c r="Z94" i="9" s="1"/>
  <c r="AC94" i="9" a="1"/>
  <c r="AC94" i="9" s="1"/>
  <c r="AF94" i="9" a="1"/>
  <c r="AF94" i="9" s="1"/>
  <c r="T94" i="9" a="1"/>
  <c r="T94" i="9" s="1"/>
  <c r="W110" i="9" a="1"/>
  <c r="W110" i="9" s="1"/>
  <c r="Z110" i="9" a="1"/>
  <c r="Z110" i="9" s="1"/>
  <c r="AC110" i="9" a="1"/>
  <c r="AC110" i="9" s="1"/>
  <c r="K110" i="9" a="1"/>
  <c r="K110" i="9" s="1"/>
  <c r="N110" i="9" a="1"/>
  <c r="N110" i="9" s="1"/>
  <c r="Q110" i="9" a="1"/>
  <c r="Q110" i="9" s="1"/>
  <c r="AI110" i="9" a="1"/>
  <c r="AI110" i="9" s="1"/>
  <c r="AL110" i="9" a="1"/>
  <c r="AL110" i="9" s="1"/>
  <c r="AF110" i="9" a="1"/>
  <c r="AF110" i="9" s="1"/>
  <c r="T110" i="9" a="1"/>
  <c r="T110" i="9" s="1"/>
  <c r="K117" i="9" a="1"/>
  <c r="K117" i="9" s="1"/>
  <c r="N117" i="9" a="1"/>
  <c r="N117" i="9" s="1"/>
  <c r="Q117" i="9" a="1"/>
  <c r="Q117" i="9" s="1"/>
  <c r="Z117" i="9" a="1"/>
  <c r="Z117" i="9" s="1"/>
  <c r="AC117" i="9" a="1"/>
  <c r="AC117" i="9" s="1"/>
  <c r="AF117" i="9" a="1"/>
  <c r="AF117" i="9" s="1"/>
  <c r="AI117" i="9" a="1"/>
  <c r="AI117" i="9" s="1"/>
  <c r="AL117" i="9" a="1"/>
  <c r="AL117" i="9" s="1"/>
  <c r="T117" i="9" a="1"/>
  <c r="T117" i="9" s="1"/>
  <c r="W117" i="9" a="1"/>
  <c r="W117" i="9" s="1"/>
  <c r="AC124" i="9" a="1"/>
  <c r="AC124" i="9" s="1"/>
  <c r="AF124" i="9" a="1"/>
  <c r="AF124" i="9" s="1"/>
  <c r="AI124" i="9" a="1"/>
  <c r="AI124" i="9" s="1"/>
  <c r="AL124" i="9" a="1"/>
  <c r="AL124" i="9" s="1"/>
  <c r="Q124" i="9" a="1"/>
  <c r="Q124" i="9" s="1"/>
  <c r="T124" i="9" a="1"/>
  <c r="T124" i="9" s="1"/>
  <c r="Z124" i="9" a="1"/>
  <c r="Z124" i="9" s="1"/>
  <c r="K124" i="9" a="1"/>
  <c r="K124" i="9" s="1"/>
  <c r="N124" i="9" a="1"/>
  <c r="N124" i="9" s="1"/>
  <c r="N93" i="9" a="1"/>
  <c r="N93" i="9" s="1"/>
  <c r="AL93" i="9" a="1"/>
  <c r="AL93" i="9" s="1"/>
  <c r="Q93" i="9" a="1"/>
  <c r="Q93" i="9" s="1"/>
  <c r="AI93" i="9" a="1"/>
  <c r="AI93" i="9" s="1"/>
  <c r="AC93" i="9" a="1"/>
  <c r="AC93" i="9" s="1"/>
  <c r="AF93" i="9" a="1"/>
  <c r="AF93" i="9" s="1"/>
  <c r="K93" i="9" a="1"/>
  <c r="K93" i="9" s="1"/>
  <c r="Z93" i="9" a="1"/>
  <c r="Z93" i="9" s="1"/>
  <c r="T93" i="9" a="1"/>
  <c r="T93" i="9" s="1"/>
  <c r="Q129" i="9" a="1"/>
  <c r="Q129" i="9" s="1"/>
  <c r="T129" i="9" a="1"/>
  <c r="T129" i="9" s="1"/>
  <c r="W129" i="9" a="1"/>
  <c r="W129" i="9" s="1"/>
  <c r="N129" i="9" a="1"/>
  <c r="N129" i="9" s="1"/>
  <c r="AC129" i="9" a="1"/>
  <c r="AC129" i="9" s="1"/>
  <c r="AF129" i="9" a="1"/>
  <c r="AF129" i="9" s="1"/>
  <c r="AI129" i="9" a="1"/>
  <c r="AI129" i="9" s="1"/>
  <c r="K129" i="9" a="1"/>
  <c r="K129" i="9" s="1"/>
  <c r="AL129" i="9" a="1"/>
  <c r="AL129" i="9" s="1"/>
  <c r="T92" i="9" a="1"/>
  <c r="T92" i="9" s="1"/>
  <c r="AI92" i="9" a="1"/>
  <c r="AI92" i="9" s="1"/>
  <c r="AL92" i="9" a="1"/>
  <c r="AL92" i="9" s="1"/>
  <c r="AF92" i="9" a="1"/>
  <c r="AF92" i="9" s="1"/>
  <c r="Q92" i="9" a="1"/>
  <c r="Q92" i="9" s="1"/>
  <c r="Z92" i="9" a="1"/>
  <c r="Z92" i="9" s="1"/>
  <c r="N92" i="9" a="1"/>
  <c r="N92" i="9" s="1"/>
  <c r="K92" i="9" a="1"/>
  <c r="K92" i="9" s="1"/>
  <c r="AC92" i="9" a="1"/>
  <c r="AC92" i="9" s="1"/>
  <c r="K109" i="9" a="1"/>
  <c r="K109" i="9" s="1"/>
  <c r="AC109" i="9" a="1"/>
  <c r="AC109" i="9" s="1"/>
  <c r="AF109" i="9" a="1"/>
  <c r="AF109" i="9" s="1"/>
  <c r="AI109" i="9" a="1"/>
  <c r="AI109" i="9" s="1"/>
  <c r="N109" i="9" a="1"/>
  <c r="N109" i="9" s="1"/>
  <c r="AL109" i="9" a="1"/>
  <c r="AL109" i="9" s="1"/>
  <c r="Z109" i="9" a="1"/>
  <c r="Z109" i="9" s="1"/>
  <c r="Q109" i="9" a="1"/>
  <c r="Q109" i="9" s="1"/>
  <c r="T109" i="9" a="1"/>
  <c r="T109" i="9" s="1"/>
  <c r="T128" i="9" a="1"/>
  <c r="T128" i="9" s="1"/>
  <c r="K128" i="9" a="1"/>
  <c r="K128" i="9" s="1"/>
  <c r="N128" i="9" a="1"/>
  <c r="N128" i="9" s="1"/>
  <c r="Q128" i="9" a="1"/>
  <c r="Q128" i="9" s="1"/>
  <c r="AF128" i="9" a="1"/>
  <c r="AF128" i="9" s="1"/>
  <c r="AI128" i="9" a="1"/>
  <c r="AI128" i="9" s="1"/>
  <c r="AL128" i="9" a="1"/>
  <c r="AL128" i="9" s="1"/>
  <c r="W128" i="9" a="1"/>
  <c r="W128" i="9" s="1"/>
  <c r="AC128" i="9" a="1"/>
  <c r="AC128" i="9" s="1"/>
  <c r="K108" i="9" a="1"/>
  <c r="K108" i="9" s="1"/>
  <c r="N108" i="9" a="1"/>
  <c r="N108" i="9" s="1"/>
  <c r="Q108" i="9" a="1"/>
  <c r="Q108" i="9" s="1"/>
  <c r="AI108" i="9" a="1"/>
  <c r="AI108" i="9" s="1"/>
  <c r="AL108" i="9" a="1"/>
  <c r="AL108" i="9" s="1"/>
  <c r="AF108" i="9" a="1"/>
  <c r="AF108" i="9" s="1"/>
  <c r="Z108" i="9" a="1"/>
  <c r="Z108" i="9" s="1"/>
  <c r="AC108" i="9" a="1"/>
  <c r="AC108" i="9" s="1"/>
  <c r="T108" i="9" a="1"/>
  <c r="T108" i="9" s="1"/>
  <c r="N127" i="9" a="1"/>
  <c r="N127" i="9" s="1"/>
  <c r="Q127" i="9" a="1"/>
  <c r="Q127" i="9" s="1"/>
  <c r="T127" i="9" a="1"/>
  <c r="T127" i="9" s="1"/>
  <c r="K127" i="9" a="1"/>
  <c r="K127" i="9" s="1"/>
  <c r="AF127" i="9" a="1"/>
  <c r="AF127" i="9" s="1"/>
  <c r="AI127" i="9" a="1"/>
  <c r="AI127" i="9" s="1"/>
  <c r="AC127" i="9" a="1"/>
  <c r="AC127" i="9" s="1"/>
  <c r="Z127" i="9" a="1"/>
  <c r="Z127" i="9" s="1"/>
  <c r="AL127" i="9" a="1"/>
  <c r="AL127" i="9" s="1"/>
  <c r="AI125" i="9" a="1"/>
  <c r="AI125" i="9" s="1"/>
  <c r="AL125" i="9" a="1"/>
  <c r="AL125" i="9" s="1"/>
  <c r="K125" i="9" a="1"/>
  <c r="K125" i="9" s="1"/>
  <c r="N125" i="9" a="1"/>
  <c r="N125" i="9" s="1"/>
  <c r="Q125" i="9" a="1"/>
  <c r="Q125" i="9" s="1"/>
  <c r="T125" i="9" a="1"/>
  <c r="T125" i="9" s="1"/>
  <c r="W125" i="9" a="1"/>
  <c r="W125" i="9" s="1"/>
  <c r="Z125" i="9" a="1"/>
  <c r="Z125" i="9" s="1"/>
  <c r="AC125" i="9" a="1"/>
  <c r="AC125" i="9" s="1"/>
  <c r="AF125" i="9" a="1"/>
  <c r="AF125" i="9" s="1"/>
  <c r="K126" i="9" a="1"/>
  <c r="K126" i="9" s="1"/>
  <c r="N126" i="9" a="1"/>
  <c r="N126" i="9" s="1"/>
  <c r="Q126" i="9" a="1"/>
  <c r="Q126" i="9" s="1"/>
  <c r="AF126" i="9" a="1"/>
  <c r="AF126" i="9" s="1"/>
  <c r="AI126" i="9" a="1"/>
  <c r="AI126" i="9" s="1"/>
  <c r="AL126" i="9" a="1"/>
  <c r="AL126" i="9" s="1"/>
  <c r="Z126" i="9" a="1"/>
  <c r="Z126" i="9" s="1"/>
  <c r="AC126" i="9" a="1"/>
  <c r="AC126" i="9" s="1"/>
  <c r="T126" i="9" a="1"/>
  <c r="T126" i="9" s="1"/>
  <c r="AN54" i="9"/>
  <c r="AO54" i="9" s="1"/>
  <c r="AN50" i="9"/>
  <c r="AO50" i="9" s="1"/>
  <c r="AN60" i="9"/>
  <c r="AO60" i="9" s="1"/>
  <c r="AN61" i="9"/>
  <c r="AO61" i="9" s="1"/>
  <c r="AN55" i="9"/>
  <c r="AN56" i="9"/>
  <c r="AO56" i="9" s="1"/>
  <c r="AN52" i="9"/>
  <c r="AO52" i="9" s="1"/>
  <c r="AN48" i="9"/>
  <c r="AN51" i="9"/>
  <c r="AO51" i="9" s="1"/>
  <c r="AN158" i="1"/>
  <c r="AN159" i="1"/>
  <c r="W156" i="1"/>
  <c r="W136" i="1"/>
  <c r="AN168" i="1"/>
  <c r="AN139" i="1"/>
  <c r="AN147" i="1"/>
  <c r="AI136" i="1"/>
  <c r="AN149" i="1"/>
  <c r="AN164" i="1"/>
  <c r="AN171" i="1"/>
  <c r="AS138" i="1"/>
  <c r="AS139" i="1"/>
  <c r="AR141" i="1"/>
  <c r="AQ141" i="1" s="1"/>
  <c r="AS146" i="1"/>
  <c r="AS147" i="1"/>
  <c r="AS154" i="1"/>
  <c r="AR154" i="1" s="1"/>
  <c r="AQ154" i="1" s="1"/>
  <c r="AN160" i="1"/>
  <c r="AC156" i="1"/>
  <c r="AN163" i="1"/>
  <c r="AS163" i="1"/>
  <c r="AS166" i="1"/>
  <c r="AS170" i="1"/>
  <c r="AT173" i="1"/>
  <c r="AR173" i="1" s="1"/>
  <c r="AQ173" i="1" s="1"/>
  <c r="AF136" i="1"/>
  <c r="AC136" i="1"/>
  <c r="AN143" i="1"/>
  <c r="AT145" i="1"/>
  <c r="AT149" i="9" s="1"/>
  <c r="AT153" i="1"/>
  <c r="AR153" i="1" s="1"/>
  <c r="AQ153" i="1" s="1"/>
  <c r="AP156" i="1"/>
  <c r="Q156" i="1"/>
  <c r="AS167" i="1"/>
  <c r="AT169" i="1"/>
  <c r="AS171" i="1"/>
  <c r="AN169" i="1"/>
  <c r="K156" i="1"/>
  <c r="N156" i="1"/>
  <c r="AL156" i="1"/>
  <c r="AT160" i="1"/>
  <c r="AS160" i="1"/>
  <c r="AU156" i="1"/>
  <c r="AN162" i="1"/>
  <c r="AT165" i="1"/>
  <c r="AN172" i="1"/>
  <c r="AN174" i="1"/>
  <c r="AF156" i="1"/>
  <c r="AT161" i="1"/>
  <c r="AT164" i="1"/>
  <c r="AS164" i="1"/>
  <c r="AT168" i="1"/>
  <c r="AS168" i="1"/>
  <c r="AN173" i="1"/>
  <c r="T156" i="1"/>
  <c r="AN165" i="1"/>
  <c r="Z156" i="1"/>
  <c r="AN161" i="1"/>
  <c r="AT172" i="1"/>
  <c r="AS172" i="1"/>
  <c r="AN138" i="1"/>
  <c r="T136" i="1"/>
  <c r="AV141" i="1"/>
  <c r="AP136" i="1"/>
  <c r="AN142" i="1"/>
  <c r="AN145" i="1"/>
  <c r="AN151" i="1"/>
  <c r="AN153" i="1"/>
  <c r="K136" i="1"/>
  <c r="Z136" i="1"/>
  <c r="AT140" i="1"/>
  <c r="AT138" i="9" s="1"/>
  <c r="AS140" i="1"/>
  <c r="AU136" i="1"/>
  <c r="AN146" i="1"/>
  <c r="AN148" i="1"/>
  <c r="AN154" i="1"/>
  <c r="N136" i="1"/>
  <c r="AL136" i="1"/>
  <c r="AN140" i="1"/>
  <c r="AN141" i="1"/>
  <c r="AN144" i="1"/>
  <c r="AN150" i="1"/>
  <c r="AN152" i="1"/>
  <c r="AS152" i="1"/>
  <c r="AS144" i="1"/>
  <c r="AS148" i="1"/>
  <c r="AN59" i="1"/>
  <c r="AO59" i="1" s="1"/>
  <c r="AN55" i="1"/>
  <c r="AO55" i="1" s="1"/>
  <c r="AN60" i="1"/>
  <c r="AO60" i="1" s="1"/>
  <c r="AS59" i="9"/>
  <c r="AN58" i="1"/>
  <c r="AO58" i="1" s="1"/>
  <c r="AN66" i="1"/>
  <c r="AO66" i="1" s="1"/>
  <c r="AN57" i="1"/>
  <c r="AN54" i="1"/>
  <c r="AO54" i="1" s="1"/>
  <c r="AS51" i="1"/>
  <c r="AP51" i="1" s="1"/>
  <c r="AN56" i="1"/>
  <c r="AN52" i="1"/>
  <c r="AO52" i="1" s="1"/>
  <c r="AN51" i="1"/>
  <c r="AO51" i="1" s="1"/>
  <c r="AN62" i="1"/>
  <c r="AO62" i="1" s="1"/>
  <c r="AT56" i="1"/>
  <c r="AP56" i="1" s="1"/>
  <c r="AT59" i="1"/>
  <c r="AP59" i="1" s="1"/>
  <c r="AT55" i="1"/>
  <c r="AP55" i="1" s="1"/>
  <c r="AT62" i="1"/>
  <c r="AP62" i="1" s="1"/>
  <c r="AN67" i="1"/>
  <c r="AO67" i="1" s="1"/>
  <c r="AN61" i="1"/>
  <c r="AO61" i="1" s="1"/>
  <c r="AN49" i="1"/>
  <c r="AT58" i="1"/>
  <c r="AP58" i="1" s="1"/>
  <c r="AT54" i="1"/>
  <c r="AP54" i="1" s="1"/>
  <c r="AN50" i="1"/>
  <c r="AT60" i="1"/>
  <c r="AP60" i="1" s="1"/>
  <c r="AT50" i="1"/>
  <c r="AP50" i="1" s="1"/>
  <c r="AT57" i="1"/>
  <c r="AT52" i="1"/>
  <c r="AP52" i="1" s="1"/>
  <c r="AT67" i="1"/>
  <c r="AT61" i="1"/>
  <c r="AP61" i="1" s="1"/>
  <c r="AT49" i="1"/>
  <c r="AP49" i="1" s="1"/>
  <c r="AT66" i="1"/>
  <c r="AU124" i="9"/>
  <c r="AU125" i="9"/>
  <c r="AU110" i="9"/>
  <c r="AU117" i="9"/>
  <c r="AU127" i="9"/>
  <c r="AU129" i="9"/>
  <c r="AU126" i="9"/>
  <c r="AU128" i="9"/>
  <c r="AU108" i="9"/>
  <c r="AU109" i="9"/>
  <c r="AU94" i="9"/>
  <c r="AU92" i="9"/>
  <c r="AU93" i="9"/>
  <c r="AU101" i="1"/>
  <c r="AS101" i="1" s="1"/>
  <c r="AU133" i="1"/>
  <c r="AS133" i="1" s="1"/>
  <c r="AU134" i="1"/>
  <c r="AS134" i="1" s="1"/>
  <c r="AU117" i="1"/>
  <c r="AT117" i="1" s="1"/>
  <c r="AU118" i="1"/>
  <c r="AS118" i="1" s="1"/>
  <c r="AU124" i="1"/>
  <c r="AS124" i="1" s="1"/>
  <c r="AU125" i="1"/>
  <c r="AT125" i="1" s="1"/>
  <c r="AU123" i="1"/>
  <c r="AT123" i="1" s="1"/>
  <c r="AU126" i="1"/>
  <c r="AT126" i="1" s="1"/>
  <c r="AU127" i="1"/>
  <c r="AT127" i="1" s="1"/>
  <c r="AU128" i="1"/>
  <c r="AT128" i="1" s="1"/>
  <c r="AC109" i="1" a="1"/>
  <c r="AC109" i="1" s="1"/>
  <c r="AC110" i="1" a="1"/>
  <c r="AC110" i="1" s="1"/>
  <c r="AF109" i="1" a="1"/>
  <c r="AF109" i="1" s="1"/>
  <c r="AF110" i="1" a="1"/>
  <c r="AF110" i="1" s="1"/>
  <c r="AI109" i="1" a="1"/>
  <c r="AI109" i="1" s="1"/>
  <c r="AI110" i="1" a="1"/>
  <c r="AI110" i="1" s="1"/>
  <c r="AL109" i="1" a="1"/>
  <c r="AL109" i="1" s="1"/>
  <c r="AL110" i="1" a="1"/>
  <c r="AL110" i="1" s="1"/>
  <c r="AU109" i="1"/>
  <c r="AS109" i="1" s="1"/>
  <c r="AU110" i="1"/>
  <c r="AS110" i="1" s="1"/>
  <c r="AC92" i="1" a="1"/>
  <c r="AC92" i="1" s="1"/>
  <c r="AC93" i="1" a="1"/>
  <c r="AC93" i="1" s="1"/>
  <c r="AC94" i="1" a="1"/>
  <c r="AC94" i="1" s="1"/>
  <c r="AC95" i="1" a="1"/>
  <c r="AC95" i="1" s="1"/>
  <c r="AF92" i="1" a="1"/>
  <c r="AF92" i="1" s="1"/>
  <c r="AF93" i="1" a="1"/>
  <c r="AF93" i="1" s="1"/>
  <c r="AF94" i="1" a="1"/>
  <c r="AF94" i="1" s="1"/>
  <c r="AF95" i="1" a="1"/>
  <c r="AF95" i="1" s="1"/>
  <c r="AI92" i="1" a="1"/>
  <c r="AI92" i="1" s="1"/>
  <c r="AI93" i="1" a="1"/>
  <c r="AI93" i="1" s="1"/>
  <c r="AI94" i="1" a="1"/>
  <c r="AI94" i="1" s="1"/>
  <c r="AI95" i="1" a="1"/>
  <c r="AI95" i="1" s="1"/>
  <c r="AL92" i="1" a="1"/>
  <c r="AL92" i="1" s="1"/>
  <c r="AL93" i="1" a="1"/>
  <c r="AL93" i="1" s="1"/>
  <c r="AL94" i="1" a="1"/>
  <c r="AL94" i="1" s="1"/>
  <c r="AL95" i="1" a="1"/>
  <c r="AL95" i="1" s="1"/>
  <c r="AU92" i="1"/>
  <c r="AU93" i="1"/>
  <c r="AT93" i="1" s="1"/>
  <c r="AU94" i="1"/>
  <c r="AT94" i="1" s="1"/>
  <c r="AU95" i="1"/>
  <c r="AS95" i="1" s="1"/>
  <c r="B130" i="9"/>
  <c r="B131" i="9"/>
  <c r="C130" i="9"/>
  <c r="C131" i="9"/>
  <c r="D130" i="9"/>
  <c r="D131" i="9"/>
  <c r="E130" i="9"/>
  <c r="E131" i="9"/>
  <c r="F130" i="9"/>
  <c r="F131" i="9"/>
  <c r="G130" i="9"/>
  <c r="G131" i="9"/>
  <c r="H130" i="9"/>
  <c r="H131" i="9"/>
  <c r="I130" i="9"/>
  <c r="I131" i="9"/>
  <c r="B111" i="9"/>
  <c r="B112" i="9"/>
  <c r="B113" i="9"/>
  <c r="C111" i="9"/>
  <c r="C112" i="9"/>
  <c r="C113" i="9"/>
  <c r="D111" i="9"/>
  <c r="D112" i="9"/>
  <c r="D113" i="9"/>
  <c r="E111" i="9"/>
  <c r="E112" i="9"/>
  <c r="E113" i="9"/>
  <c r="F111" i="9"/>
  <c r="F112" i="9"/>
  <c r="F113" i="9"/>
  <c r="G111" i="9"/>
  <c r="G112" i="9"/>
  <c r="G113" i="9"/>
  <c r="H111" i="9"/>
  <c r="H112" i="9"/>
  <c r="H113" i="9"/>
  <c r="I111" i="9"/>
  <c r="I112" i="9"/>
  <c r="I113" i="9"/>
  <c r="B95" i="9"/>
  <c r="B96" i="9"/>
  <c r="C95" i="9"/>
  <c r="C96" i="9"/>
  <c r="D95" i="9"/>
  <c r="D96" i="9"/>
  <c r="E95" i="9"/>
  <c r="E96" i="9"/>
  <c r="F95" i="9"/>
  <c r="F96" i="9"/>
  <c r="G95" i="9"/>
  <c r="G96" i="9"/>
  <c r="H95" i="9"/>
  <c r="H96" i="9"/>
  <c r="I95" i="9"/>
  <c r="I96" i="9"/>
  <c r="B41" i="9"/>
  <c r="C41" i="9"/>
  <c r="D41" i="9"/>
  <c r="E41" i="9"/>
  <c r="F41" i="9"/>
  <c r="G41" i="9"/>
  <c r="H41" i="9"/>
  <c r="I41" i="9"/>
  <c r="Q105" i="1" a="1"/>
  <c r="Q105" i="1" s="1"/>
  <c r="AU129" i="1"/>
  <c r="AS129" i="1" s="1"/>
  <c r="AU130" i="1"/>
  <c r="AT130" i="1" s="1"/>
  <c r="AC111" i="1" a="1"/>
  <c r="AC111" i="1" s="1"/>
  <c r="AC112" i="1" a="1"/>
  <c r="AC112" i="1" s="1"/>
  <c r="AC113" i="1" a="1"/>
  <c r="AC113" i="1" s="1"/>
  <c r="AF111" i="1" a="1"/>
  <c r="AF111" i="1" s="1"/>
  <c r="AF112" i="1" a="1"/>
  <c r="AF112" i="1" s="1"/>
  <c r="AF113" i="1" a="1"/>
  <c r="AF113" i="1" s="1"/>
  <c r="AI111" i="1" a="1"/>
  <c r="AI111" i="1" s="1"/>
  <c r="AI112" i="1" a="1"/>
  <c r="AI112" i="1" s="1"/>
  <c r="AI113" i="1" a="1"/>
  <c r="AI113" i="1" s="1"/>
  <c r="AL111" i="1" a="1"/>
  <c r="AL111" i="1" s="1"/>
  <c r="AL112" i="1" a="1"/>
  <c r="AL112" i="1" s="1"/>
  <c r="AL113" i="1" a="1"/>
  <c r="AL113" i="1" s="1"/>
  <c r="AU111" i="1"/>
  <c r="AS111" i="1" s="1"/>
  <c r="AU112" i="1"/>
  <c r="AS112" i="1" s="1"/>
  <c r="AU113" i="1"/>
  <c r="AS113" i="1" s="1"/>
  <c r="I101" i="9"/>
  <c r="H101" i="9"/>
  <c r="G101" i="9"/>
  <c r="F101" i="9"/>
  <c r="E101" i="9"/>
  <c r="D101" i="9"/>
  <c r="C101" i="9"/>
  <c r="B101" i="9"/>
  <c r="AL101" i="1" a="1"/>
  <c r="AL101" i="1" s="1"/>
  <c r="AI101" i="1" a="1"/>
  <c r="AI101" i="1" s="1"/>
  <c r="AF101" i="1" a="1"/>
  <c r="AF101" i="1" s="1"/>
  <c r="AC101" i="1" a="1"/>
  <c r="AC101" i="1" s="1"/>
  <c r="AL117" i="1" a="1"/>
  <c r="AL117" i="1" s="1"/>
  <c r="AI117" i="1" a="1"/>
  <c r="AI117" i="1" s="1"/>
  <c r="AF117" i="1" a="1"/>
  <c r="AF117" i="1" s="1"/>
  <c r="AC117" i="1" a="1"/>
  <c r="AC117" i="1" s="1"/>
  <c r="B12" i="9"/>
  <c r="B44" i="9"/>
  <c r="B43" i="9"/>
  <c r="B27" i="9"/>
  <c r="B26" i="9"/>
  <c r="B15" i="9"/>
  <c r="B14" i="9"/>
  <c r="AT170" i="9" l="1"/>
  <c r="AT174" i="9"/>
  <c r="AS63" i="9"/>
  <c r="AT153" i="9"/>
  <c r="AV37" i="9"/>
  <c r="AP35" i="9"/>
  <c r="AT145" i="9"/>
  <c r="AT64" i="9"/>
  <c r="AP64" i="9" s="1"/>
  <c r="AV64" i="9" s="1"/>
  <c r="AT141" i="9"/>
  <c r="AT148" i="9"/>
  <c r="AS160" i="9"/>
  <c r="AT165" i="9"/>
  <c r="AT158" i="9"/>
  <c r="AT150" i="9"/>
  <c r="AT146" i="9"/>
  <c r="AS145" i="9"/>
  <c r="AS166" i="9"/>
  <c r="AR37" i="9"/>
  <c r="AQ37" i="9" s="1"/>
  <c r="AT166" i="9"/>
  <c r="AT143" i="9"/>
  <c r="AT140" i="9"/>
  <c r="AT167" i="9"/>
  <c r="AV38" i="9"/>
  <c r="AO38" i="9"/>
  <c r="AR21" i="9"/>
  <c r="AQ21" i="9" s="1"/>
  <c r="AR67" i="1"/>
  <c r="AQ67" i="1" s="1"/>
  <c r="AP67" i="1"/>
  <c r="AV67" i="1" s="1"/>
  <c r="AS163" i="9"/>
  <c r="AR57" i="1"/>
  <c r="AQ57" i="1" s="1"/>
  <c r="AP57" i="1"/>
  <c r="AV57" i="1" s="1"/>
  <c r="AS162" i="9"/>
  <c r="AS159" i="9"/>
  <c r="AT162" i="9"/>
  <c r="AT159" i="9"/>
  <c r="AS153" i="9"/>
  <c r="AT152" i="9"/>
  <c r="AS142" i="9"/>
  <c r="AS139" i="9"/>
  <c r="AT154" i="9"/>
  <c r="AT139" i="9"/>
  <c r="AS165" i="9"/>
  <c r="AS143" i="9"/>
  <c r="AS138" i="9"/>
  <c r="AS161" i="9"/>
  <c r="AS158" i="9"/>
  <c r="AP36" i="9"/>
  <c r="AV36" i="9" s="1"/>
  <c r="AT160" i="9"/>
  <c r="AT161" i="9"/>
  <c r="AP66" i="1"/>
  <c r="AV66" i="1" s="1"/>
  <c r="AS62" i="9"/>
  <c r="AV62" i="1"/>
  <c r="AV61" i="1"/>
  <c r="AV60" i="1"/>
  <c r="AV59" i="1"/>
  <c r="AV58" i="1"/>
  <c r="AO57" i="1"/>
  <c r="AO55" i="9"/>
  <c r="AO56" i="1"/>
  <c r="AV56" i="1"/>
  <c r="AV55" i="1"/>
  <c r="AV52" i="1"/>
  <c r="AV54" i="1"/>
  <c r="AT52" i="9"/>
  <c r="AV51" i="1"/>
  <c r="AO49" i="9"/>
  <c r="AV49" i="1"/>
  <c r="AO49" i="1"/>
  <c r="AO48" i="9"/>
  <c r="AV50" i="1"/>
  <c r="AO50" i="1"/>
  <c r="AV33" i="9"/>
  <c r="AR36" i="9"/>
  <c r="AQ36" i="9" s="1"/>
  <c r="AV35" i="9"/>
  <c r="AR34" i="9"/>
  <c r="AQ34" i="9" s="1"/>
  <c r="AV34" i="9"/>
  <c r="AV32" i="9"/>
  <c r="AR32" i="9"/>
  <c r="AQ32" i="9" s="1"/>
  <c r="AR33" i="9"/>
  <c r="AQ33" i="9" s="1"/>
  <c r="AR35" i="9"/>
  <c r="AQ35" i="9" s="1"/>
  <c r="AR38" i="9"/>
  <c r="AQ38" i="9" s="1"/>
  <c r="AR31" i="9"/>
  <c r="AQ31" i="9" s="1"/>
  <c r="AV31" i="9"/>
  <c r="AR30" i="9"/>
  <c r="AQ30" i="9" s="1"/>
  <c r="AV30" i="9"/>
  <c r="AV20" i="9"/>
  <c r="AR20" i="9"/>
  <c r="AQ20" i="9" s="1"/>
  <c r="AR19" i="9"/>
  <c r="AQ19" i="9" s="1"/>
  <c r="AV19" i="9"/>
  <c r="AR18" i="9"/>
  <c r="AQ18" i="9" s="1"/>
  <c r="AN136" i="9"/>
  <c r="AT151" i="9"/>
  <c r="AS151" i="9"/>
  <c r="AT173" i="9"/>
  <c r="AR158" i="1"/>
  <c r="AR165" i="1"/>
  <c r="AQ165" i="1" s="1"/>
  <c r="AS174" i="9"/>
  <c r="AR159" i="1"/>
  <c r="AS147" i="9"/>
  <c r="AS171" i="9"/>
  <c r="AR149" i="1"/>
  <c r="AQ149" i="1" s="1"/>
  <c r="AT144" i="9"/>
  <c r="AT172" i="9"/>
  <c r="AT169" i="9"/>
  <c r="AT168" i="9"/>
  <c r="AT164" i="9"/>
  <c r="AS144" i="9"/>
  <c r="AS167" i="9"/>
  <c r="AS164" i="9"/>
  <c r="AR66" i="1"/>
  <c r="AR52" i="1"/>
  <c r="AR55" i="1"/>
  <c r="AT55" i="9"/>
  <c r="AP55" i="9" s="1"/>
  <c r="AV55" i="9" s="1"/>
  <c r="AT136" i="1"/>
  <c r="AT142" i="9"/>
  <c r="AR161" i="1"/>
  <c r="AT163" i="9"/>
  <c r="AR171" i="1"/>
  <c r="AS173" i="9"/>
  <c r="AR170" i="1"/>
  <c r="AS172" i="9"/>
  <c r="AR147" i="1"/>
  <c r="AS149" i="9"/>
  <c r="AR138" i="1"/>
  <c r="AS140" i="9"/>
  <c r="AR49" i="1"/>
  <c r="AR59" i="1"/>
  <c r="AT59" i="9"/>
  <c r="AP59" i="9" s="1"/>
  <c r="AV59" i="9" s="1"/>
  <c r="AR148" i="1"/>
  <c r="AS150" i="9"/>
  <c r="AR169" i="1"/>
  <c r="AT171" i="9"/>
  <c r="AR166" i="1"/>
  <c r="AS168" i="9"/>
  <c r="AR146" i="1"/>
  <c r="AS148" i="9"/>
  <c r="AR151" i="1"/>
  <c r="AR61" i="1"/>
  <c r="AT62" i="9"/>
  <c r="AR50" i="1"/>
  <c r="AR54" i="1"/>
  <c r="AR56" i="1"/>
  <c r="AT56" i="9"/>
  <c r="AP56" i="9" s="1"/>
  <c r="AV56" i="9" s="1"/>
  <c r="AR144" i="1"/>
  <c r="AS146" i="9"/>
  <c r="AR167" i="1"/>
  <c r="AS169" i="9"/>
  <c r="AR150" i="1"/>
  <c r="AS152" i="9"/>
  <c r="AR60" i="1"/>
  <c r="AR58" i="1"/>
  <c r="AT58" i="9"/>
  <c r="AP58" i="9" s="1"/>
  <c r="AV58" i="9" s="1"/>
  <c r="AR62" i="1"/>
  <c r="AT63" i="9"/>
  <c r="AP63" i="9" s="1"/>
  <c r="AV63" i="9" s="1"/>
  <c r="AR51" i="1"/>
  <c r="AS52" i="9"/>
  <c r="AR152" i="1"/>
  <c r="AS154" i="9"/>
  <c r="AR168" i="1"/>
  <c r="AS170" i="9"/>
  <c r="AR163" i="1"/>
  <c r="AR145" i="1"/>
  <c r="AT147" i="9"/>
  <c r="AR139" i="1"/>
  <c r="AS141" i="9"/>
  <c r="AR142" i="1"/>
  <c r="AN156" i="9"/>
  <c r="Q111" i="9" a="1"/>
  <c r="Q111" i="9" s="1"/>
  <c r="T111" i="9" a="1"/>
  <c r="T111" i="9" s="1"/>
  <c r="N111" i="9" a="1"/>
  <c r="N111" i="9" s="1"/>
  <c r="K111" i="9" a="1"/>
  <c r="K111" i="9" s="1"/>
  <c r="AL111" i="9" a="1"/>
  <c r="AL111" i="9" s="1"/>
  <c r="AC111" i="9" a="1"/>
  <c r="AC111" i="9" s="1"/>
  <c r="AF111" i="9" a="1"/>
  <c r="AF111" i="9" s="1"/>
  <c r="AI111" i="9" a="1"/>
  <c r="AI111" i="9" s="1"/>
  <c r="Z111" i="9" a="1"/>
  <c r="Z111" i="9" s="1"/>
  <c r="K41" i="9" a="1"/>
  <c r="K41" i="9" s="1"/>
  <c r="N41" i="9" a="1"/>
  <c r="N41" i="9" s="1"/>
  <c r="Q41" i="9" a="1"/>
  <c r="Q41" i="9" s="1"/>
  <c r="T41" i="9" a="1"/>
  <c r="T41" i="9" s="1"/>
  <c r="W41" i="9" a="1"/>
  <c r="W41" i="9" s="1"/>
  <c r="Z41" i="9" a="1"/>
  <c r="Z41" i="9" s="1"/>
  <c r="AC41" i="9" a="1"/>
  <c r="AC41" i="9" s="1"/>
  <c r="AF41" i="9" a="1"/>
  <c r="AF41" i="9" s="1"/>
  <c r="AI41" i="9" a="1"/>
  <c r="AI41" i="9" s="1"/>
  <c r="AL41" i="9" a="1"/>
  <c r="AL41" i="9" s="1"/>
  <c r="N96" i="9" a="1"/>
  <c r="N96" i="9" s="1"/>
  <c r="Q96" i="9" a="1"/>
  <c r="Q96" i="9" s="1"/>
  <c r="Z96" i="9" a="1"/>
  <c r="Z96" i="9" s="1"/>
  <c r="AC96" i="9" a="1"/>
  <c r="AC96" i="9" s="1"/>
  <c r="AL96" i="9" a="1"/>
  <c r="AL96" i="9" s="1"/>
  <c r="K96" i="9" a="1"/>
  <c r="K96" i="9" s="1"/>
  <c r="W96" i="9" a="1"/>
  <c r="W96" i="9" s="1"/>
  <c r="AI96" i="9" a="1"/>
  <c r="AI96" i="9" s="1"/>
  <c r="T96" i="9" a="1"/>
  <c r="T96" i="9" s="1"/>
  <c r="AF96" i="9" a="1"/>
  <c r="AF96" i="9" s="1"/>
  <c r="Q131" i="9" a="1"/>
  <c r="Q131" i="9" s="1"/>
  <c r="T131" i="9" a="1"/>
  <c r="T131" i="9" s="1"/>
  <c r="AC131" i="9" a="1"/>
  <c r="AC131" i="9" s="1"/>
  <c r="N131" i="9" a="1"/>
  <c r="N131" i="9" s="1"/>
  <c r="AL131" i="9" a="1"/>
  <c r="AL131" i="9" s="1"/>
  <c r="K131" i="9" a="1"/>
  <c r="K131" i="9" s="1"/>
  <c r="AF131" i="9" a="1"/>
  <c r="AF131" i="9" s="1"/>
  <c r="AI131" i="9" a="1"/>
  <c r="AI131" i="9" s="1"/>
  <c r="W131" i="9" a="1"/>
  <c r="W131" i="9" s="1"/>
  <c r="K101" i="9" a="1"/>
  <c r="K101" i="9" s="1"/>
  <c r="N101" i="9" a="1"/>
  <c r="N101" i="9" s="1"/>
  <c r="Q101" i="9" a="1"/>
  <c r="Q101" i="9" s="1"/>
  <c r="T101" i="9" a="1"/>
  <c r="T101" i="9" s="1"/>
  <c r="AC101" i="9" a="1"/>
  <c r="AC101" i="9" s="1"/>
  <c r="AF101" i="9" a="1"/>
  <c r="AF101" i="9" s="1"/>
  <c r="AI101" i="9" a="1"/>
  <c r="AI101" i="9" s="1"/>
  <c r="AL101" i="9" a="1"/>
  <c r="AL101" i="9" s="1"/>
  <c r="Z101" i="9" a="1"/>
  <c r="Z101" i="9" s="1"/>
  <c r="W101" i="9" a="1"/>
  <c r="W101" i="9" s="1"/>
  <c r="K112" i="9" a="1"/>
  <c r="K112" i="9" s="1"/>
  <c r="N112" i="9" a="1"/>
  <c r="N112" i="9" s="1"/>
  <c r="Q112" i="9" a="1"/>
  <c r="Q112" i="9" s="1"/>
  <c r="AI112" i="9" a="1"/>
  <c r="AI112" i="9" s="1"/>
  <c r="AL112" i="9" a="1"/>
  <c r="AL112" i="9" s="1"/>
  <c r="T112" i="9" a="1"/>
  <c r="T112" i="9" s="1"/>
  <c r="W112" i="9" a="1"/>
  <c r="W112" i="9" s="1"/>
  <c r="Z112" i="9" a="1"/>
  <c r="Z112" i="9" s="1"/>
  <c r="AC112" i="9" a="1"/>
  <c r="AC112" i="9" s="1"/>
  <c r="AF112" i="9" a="1"/>
  <c r="AF112" i="9" s="1"/>
  <c r="K95" i="9" a="1"/>
  <c r="K95" i="9" s="1"/>
  <c r="AC95" i="9" a="1"/>
  <c r="AC95" i="9" s="1"/>
  <c r="AF95" i="9" a="1"/>
  <c r="AF95" i="9" s="1"/>
  <c r="AI95" i="9" a="1"/>
  <c r="AI95" i="9" s="1"/>
  <c r="T95" i="9" a="1"/>
  <c r="T95" i="9" s="1"/>
  <c r="W95" i="9" a="1"/>
  <c r="W95" i="9" s="1"/>
  <c r="N95" i="9" a="1"/>
  <c r="N95" i="9" s="1"/>
  <c r="Q95" i="9" a="1"/>
  <c r="Q95" i="9" s="1"/>
  <c r="AL95" i="9" a="1"/>
  <c r="AL95" i="9" s="1"/>
  <c r="K113" i="9" a="1"/>
  <c r="K113" i="9" s="1"/>
  <c r="AC113" i="9" a="1"/>
  <c r="AC113" i="9" s="1"/>
  <c r="AF113" i="9" a="1"/>
  <c r="AF113" i="9" s="1"/>
  <c r="AI113" i="9" a="1"/>
  <c r="AI113" i="9" s="1"/>
  <c r="Q113" i="9" a="1"/>
  <c r="Q113" i="9" s="1"/>
  <c r="T113" i="9" a="1"/>
  <c r="T113" i="9" s="1"/>
  <c r="W113" i="9" a="1"/>
  <c r="W113" i="9" s="1"/>
  <c r="N113" i="9" a="1"/>
  <c r="N113" i="9" s="1"/>
  <c r="AL113" i="9" a="1"/>
  <c r="AL113" i="9" s="1"/>
  <c r="T130" i="9" a="1"/>
  <c r="T130" i="9" s="1"/>
  <c r="W130" i="9" a="1"/>
  <c r="W130" i="9" s="1"/>
  <c r="Z130" i="9" a="1"/>
  <c r="Z130" i="9" s="1"/>
  <c r="AC130" i="9" a="1"/>
  <c r="AC130" i="9" s="1"/>
  <c r="AF130" i="9" a="1"/>
  <c r="AF130" i="9" s="1"/>
  <c r="N130" i="9" a="1"/>
  <c r="N130" i="9" s="1"/>
  <c r="AI130" i="9" a="1"/>
  <c r="AI130" i="9" s="1"/>
  <c r="K130" i="9" a="1"/>
  <c r="K130" i="9" s="1"/>
  <c r="Q130" i="9" a="1"/>
  <c r="Q130" i="9" s="1"/>
  <c r="AL130" i="9" a="1"/>
  <c r="AL130" i="9" s="1"/>
  <c r="AN156" i="1"/>
  <c r="AR172" i="1"/>
  <c r="AR164" i="1"/>
  <c r="AR160" i="1"/>
  <c r="AS156" i="1"/>
  <c r="AT156" i="1"/>
  <c r="AR140" i="1"/>
  <c r="AS136" i="1"/>
  <c r="AN136" i="1"/>
  <c r="AN128" i="9"/>
  <c r="AO128" i="9" s="1"/>
  <c r="AT118" i="1"/>
  <c r="AN124" i="9"/>
  <c r="AO124" i="9" s="1"/>
  <c r="AN117" i="1"/>
  <c r="AO117" i="1" s="1"/>
  <c r="AN101" i="1"/>
  <c r="AO101" i="1" s="1"/>
  <c r="AN125" i="9"/>
  <c r="AO125" i="9" s="1"/>
  <c r="AN127" i="9"/>
  <c r="AO127" i="9" s="1"/>
  <c r="AN126" i="9"/>
  <c r="AO126" i="9" s="1"/>
  <c r="AN108" i="9"/>
  <c r="AO108" i="9" s="1"/>
  <c r="AN109" i="9"/>
  <c r="AO109" i="9" s="1"/>
  <c r="AN117" i="9"/>
  <c r="AO117" i="9" s="1"/>
  <c r="AN110" i="9"/>
  <c r="AO110" i="9" s="1"/>
  <c r="AN129" i="9"/>
  <c r="AO129" i="9" s="1"/>
  <c r="AN94" i="9"/>
  <c r="AO94" i="9" s="1"/>
  <c r="AN92" i="9"/>
  <c r="AO92" i="9" s="1"/>
  <c r="AN93" i="9"/>
  <c r="AO93" i="9" s="1"/>
  <c r="AT134" i="1"/>
  <c r="AR134" i="1" s="1"/>
  <c r="AQ134" i="1" s="1"/>
  <c r="AT101" i="1"/>
  <c r="AT133" i="1"/>
  <c r="AR133" i="1" s="1"/>
  <c r="AQ133" i="1" s="1"/>
  <c r="AS117" i="1"/>
  <c r="AN125" i="1"/>
  <c r="AO125" i="1" s="1"/>
  <c r="AT124" i="1"/>
  <c r="AS127" i="1"/>
  <c r="AN124" i="1"/>
  <c r="AO124" i="1" s="1"/>
  <c r="AS123" i="1"/>
  <c r="AS125" i="1"/>
  <c r="AN128" i="1"/>
  <c r="AO128" i="1" s="1"/>
  <c r="AN126" i="1"/>
  <c r="AO126" i="1" s="1"/>
  <c r="AN127" i="1"/>
  <c r="AO127" i="1" s="1"/>
  <c r="AN123" i="1"/>
  <c r="AO123" i="1" s="1"/>
  <c r="AS126" i="1"/>
  <c r="AS93" i="1"/>
  <c r="AS128" i="1"/>
  <c r="AT109" i="1"/>
  <c r="AP109" i="1" s="1"/>
  <c r="AT110" i="1"/>
  <c r="AP110" i="1" s="1"/>
  <c r="AN92" i="1"/>
  <c r="AO92" i="1" s="1"/>
  <c r="AN110" i="1"/>
  <c r="AO110" i="1" s="1"/>
  <c r="AN109" i="1"/>
  <c r="AO109" i="1" s="1"/>
  <c r="AT95" i="1"/>
  <c r="AN94" i="1"/>
  <c r="AO94" i="1" s="1"/>
  <c r="AS94" i="1"/>
  <c r="AN93" i="1"/>
  <c r="AO93" i="1" s="1"/>
  <c r="AN95" i="1"/>
  <c r="AO95" i="1" s="1"/>
  <c r="AS92" i="1"/>
  <c r="AT92" i="1"/>
  <c r="AU131" i="9"/>
  <c r="AU130" i="9"/>
  <c r="AU112" i="9"/>
  <c r="AU113" i="9"/>
  <c r="AU111" i="9"/>
  <c r="AU96" i="9"/>
  <c r="AU95" i="9"/>
  <c r="AU41" i="9"/>
  <c r="AT129" i="1"/>
  <c r="AR129" i="1" s="1"/>
  <c r="AQ129" i="1" s="1"/>
  <c r="AN130" i="1"/>
  <c r="AO130" i="1" s="1"/>
  <c r="AN112" i="1"/>
  <c r="AO112" i="1" s="1"/>
  <c r="AN129" i="1"/>
  <c r="AO129" i="1" s="1"/>
  <c r="AS130" i="1"/>
  <c r="AN113" i="1"/>
  <c r="AO113" i="1" s="1"/>
  <c r="AN111" i="1"/>
  <c r="AO111" i="1" s="1"/>
  <c r="AT113" i="1"/>
  <c r="AP113" i="1" s="1"/>
  <c r="AT112" i="1"/>
  <c r="AP112" i="1" s="1"/>
  <c r="AT111" i="1"/>
  <c r="AP111" i="1" s="1"/>
  <c r="AU101" i="9"/>
  <c r="J122" i="9" a="1"/>
  <c r="J122" i="9" s="1"/>
  <c r="M122" i="9" a="1"/>
  <c r="M122" i="9" s="1"/>
  <c r="P122" i="9" a="1"/>
  <c r="P122" i="9" s="1"/>
  <c r="S122" i="9" a="1"/>
  <c r="S122" i="9" s="1"/>
  <c r="B122" i="9"/>
  <c r="C122" i="9"/>
  <c r="D122" i="9"/>
  <c r="E122" i="9"/>
  <c r="F122" i="9"/>
  <c r="G122" i="9"/>
  <c r="H122" i="9"/>
  <c r="I122" i="9"/>
  <c r="L122" i="9"/>
  <c r="O122" i="9"/>
  <c r="R122" i="9"/>
  <c r="U122" i="9"/>
  <c r="X122" i="9"/>
  <c r="AA122" i="9"/>
  <c r="AD122" i="9"/>
  <c r="AG122" i="9"/>
  <c r="AJ122" i="9"/>
  <c r="AM122" i="9"/>
  <c r="B123" i="9"/>
  <c r="B132" i="9"/>
  <c r="B133" i="9"/>
  <c r="B134" i="9"/>
  <c r="C123" i="9"/>
  <c r="C132" i="9"/>
  <c r="C133" i="9"/>
  <c r="C134" i="9"/>
  <c r="D123" i="9"/>
  <c r="D132" i="9"/>
  <c r="D133" i="9"/>
  <c r="D134" i="9"/>
  <c r="E123" i="9"/>
  <c r="E132" i="9"/>
  <c r="E133" i="9"/>
  <c r="E134" i="9"/>
  <c r="F123" i="9"/>
  <c r="F132" i="9"/>
  <c r="F133" i="9"/>
  <c r="F134" i="9"/>
  <c r="G123" i="9"/>
  <c r="G132" i="9"/>
  <c r="G133" i="9"/>
  <c r="G134" i="9"/>
  <c r="H123" i="9"/>
  <c r="H132" i="9"/>
  <c r="H133" i="9"/>
  <c r="H134" i="9"/>
  <c r="I123" i="9"/>
  <c r="I132" i="9"/>
  <c r="I133" i="9"/>
  <c r="I134" i="9"/>
  <c r="B120" i="9"/>
  <c r="V81" i="9"/>
  <c r="V82" i="9"/>
  <c r="V83" i="9"/>
  <c r="V84" i="9"/>
  <c r="V85" i="9"/>
  <c r="X81" i="9"/>
  <c r="X82" i="9"/>
  <c r="X83" i="9"/>
  <c r="X84" i="9"/>
  <c r="X85" i="9"/>
  <c r="Y81" i="9"/>
  <c r="Y82" i="9"/>
  <c r="Y83" i="9"/>
  <c r="Y84" i="9"/>
  <c r="Y85" i="9"/>
  <c r="AA81" i="9"/>
  <c r="AA82" i="9"/>
  <c r="AA83" i="9"/>
  <c r="AA84" i="9"/>
  <c r="AA85" i="9"/>
  <c r="AB81" i="9"/>
  <c r="AB82" i="9"/>
  <c r="AB83" i="9"/>
  <c r="AB84" i="9"/>
  <c r="AB85" i="9"/>
  <c r="AD81" i="9"/>
  <c r="AD82" i="9"/>
  <c r="AD83" i="9"/>
  <c r="AD84" i="9"/>
  <c r="AD85" i="9"/>
  <c r="AE81" i="9"/>
  <c r="AE82" i="9"/>
  <c r="AE83" i="9"/>
  <c r="AE84" i="9"/>
  <c r="AE85" i="9"/>
  <c r="AG81" i="9"/>
  <c r="AG82" i="9"/>
  <c r="AG83" i="9"/>
  <c r="AG84" i="9"/>
  <c r="AG85" i="9"/>
  <c r="AH81" i="9"/>
  <c r="AH82" i="9"/>
  <c r="AH83" i="9"/>
  <c r="AH84" i="9"/>
  <c r="AH85" i="9"/>
  <c r="AJ81" i="9"/>
  <c r="AJ82" i="9"/>
  <c r="AJ83" i="9"/>
  <c r="AJ84" i="9"/>
  <c r="AJ85" i="9"/>
  <c r="AK81" i="9"/>
  <c r="AK82" i="9"/>
  <c r="AK83" i="9"/>
  <c r="AK84" i="9"/>
  <c r="AK85" i="9"/>
  <c r="AM81" i="9"/>
  <c r="AM82" i="9"/>
  <c r="AM83" i="9"/>
  <c r="AM84" i="9"/>
  <c r="AM85" i="9"/>
  <c r="B81" i="9"/>
  <c r="C81" i="9"/>
  <c r="D81" i="9"/>
  <c r="E81" i="9"/>
  <c r="F81" i="9"/>
  <c r="G81" i="9"/>
  <c r="H81" i="9"/>
  <c r="I81" i="9"/>
  <c r="J81" i="9"/>
  <c r="L81" i="9"/>
  <c r="M81" i="9"/>
  <c r="O81" i="9"/>
  <c r="P81" i="9"/>
  <c r="R81" i="9"/>
  <c r="S81" i="9"/>
  <c r="U81" i="9"/>
  <c r="B82" i="9"/>
  <c r="B83" i="9"/>
  <c r="B84" i="9"/>
  <c r="B85" i="9"/>
  <c r="C82" i="9"/>
  <c r="C83" i="9"/>
  <c r="C84" i="9"/>
  <c r="C85" i="9"/>
  <c r="D82" i="9"/>
  <c r="D83" i="9"/>
  <c r="D84" i="9"/>
  <c r="D85" i="9"/>
  <c r="E82" i="9"/>
  <c r="E83" i="9"/>
  <c r="E84" i="9"/>
  <c r="E85" i="9"/>
  <c r="F82" i="9"/>
  <c r="F83" i="9"/>
  <c r="F84" i="9"/>
  <c r="F85" i="9"/>
  <c r="G82" i="9"/>
  <c r="G83" i="9"/>
  <c r="G84" i="9"/>
  <c r="G85" i="9"/>
  <c r="H82" i="9"/>
  <c r="H83" i="9"/>
  <c r="H84" i="9"/>
  <c r="H85" i="9"/>
  <c r="I82" i="9"/>
  <c r="I83" i="9"/>
  <c r="I84" i="9"/>
  <c r="I85" i="9"/>
  <c r="J82" i="9"/>
  <c r="J83" i="9"/>
  <c r="J84" i="9"/>
  <c r="J85" i="9"/>
  <c r="L82" i="9"/>
  <c r="L83" i="9"/>
  <c r="L84" i="9"/>
  <c r="L85" i="9"/>
  <c r="M82" i="9"/>
  <c r="M83" i="9"/>
  <c r="M84" i="9"/>
  <c r="M85" i="9"/>
  <c r="O82" i="9"/>
  <c r="O83" i="9"/>
  <c r="O84" i="9"/>
  <c r="O85" i="9"/>
  <c r="P82" i="9"/>
  <c r="P83" i="9"/>
  <c r="P84" i="9"/>
  <c r="P85" i="9"/>
  <c r="R82" i="9"/>
  <c r="R83" i="9"/>
  <c r="R84" i="9"/>
  <c r="R85" i="9"/>
  <c r="S82" i="9"/>
  <c r="S83" i="9"/>
  <c r="S84" i="9"/>
  <c r="S85" i="9"/>
  <c r="U82" i="9"/>
  <c r="U83" i="9"/>
  <c r="U84" i="9"/>
  <c r="U85" i="9"/>
  <c r="B79" i="9"/>
  <c r="B78" i="9"/>
  <c r="B103" i="9"/>
  <c r="B87" i="9"/>
  <c r="B22" i="9"/>
  <c r="C22" i="9"/>
  <c r="D22" i="9"/>
  <c r="E22" i="9"/>
  <c r="F22" i="9"/>
  <c r="G22" i="9"/>
  <c r="H22" i="9"/>
  <c r="I22" i="9"/>
  <c r="B17" i="9"/>
  <c r="C17" i="9"/>
  <c r="D17" i="9"/>
  <c r="E17" i="9"/>
  <c r="F17" i="9"/>
  <c r="G17" i="9"/>
  <c r="H17" i="9"/>
  <c r="I17" i="9"/>
  <c r="J17" i="9"/>
  <c r="L17" i="9"/>
  <c r="M17" i="9"/>
  <c r="O17" i="9"/>
  <c r="P17" i="9"/>
  <c r="R17" i="9"/>
  <c r="S17" i="9"/>
  <c r="U17" i="9"/>
  <c r="V17" i="9"/>
  <c r="X17" i="9"/>
  <c r="Y17" i="9"/>
  <c r="AA17" i="9"/>
  <c r="AB17" i="9"/>
  <c r="AD17" i="9"/>
  <c r="AE17" i="9"/>
  <c r="AG17" i="9"/>
  <c r="AH17" i="9"/>
  <c r="AJ17" i="9"/>
  <c r="AK17" i="9"/>
  <c r="AM17" i="9"/>
  <c r="B23" i="9"/>
  <c r="C23" i="9"/>
  <c r="D23" i="9"/>
  <c r="E23" i="9"/>
  <c r="F23" i="9"/>
  <c r="G23" i="9"/>
  <c r="H23" i="9"/>
  <c r="I23" i="9"/>
  <c r="F8" i="9"/>
  <c r="F6" i="9"/>
  <c r="AR161" i="9" l="1"/>
  <c r="Z122" i="9" a="1"/>
  <c r="Z122" i="9" s="1"/>
  <c r="AP52" i="9"/>
  <c r="AV52" i="9" s="1"/>
  <c r="AR64" i="9"/>
  <c r="AQ64" i="9" s="1"/>
  <c r="AR160" i="9"/>
  <c r="AR162" i="9"/>
  <c r="AQ162" i="9" s="1"/>
  <c r="AR159" i="9"/>
  <c r="AQ159" i="9" s="1"/>
  <c r="AQ159" i="1"/>
  <c r="AR158" i="9"/>
  <c r="AQ158" i="9" s="1"/>
  <c r="AR143" i="9"/>
  <c r="AQ143" i="9" s="1"/>
  <c r="AR138" i="9"/>
  <c r="AQ138" i="9" s="1"/>
  <c r="AQ161" i="9"/>
  <c r="AQ160" i="9"/>
  <c r="AQ158" i="1"/>
  <c r="AR142" i="9"/>
  <c r="AQ142" i="9" s="1"/>
  <c r="AR139" i="9"/>
  <c r="AQ139" i="9" s="1"/>
  <c r="AR145" i="9"/>
  <c r="AQ145" i="9" s="1"/>
  <c r="AP62" i="9"/>
  <c r="AV62" i="9" s="1"/>
  <c r="AS156" i="9"/>
  <c r="AS136" i="9"/>
  <c r="AT156" i="9"/>
  <c r="AT136" i="9"/>
  <c r="AR151" i="9"/>
  <c r="AQ151" i="9" s="1"/>
  <c r="AR167" i="9"/>
  <c r="AQ167" i="9" s="1"/>
  <c r="AR164" i="9"/>
  <c r="AQ164" i="9" s="1"/>
  <c r="AQ172" i="1"/>
  <c r="AR174" i="9"/>
  <c r="AQ174" i="9" s="1"/>
  <c r="AQ142" i="1"/>
  <c r="AR144" i="9"/>
  <c r="AQ144" i="9" s="1"/>
  <c r="AQ145" i="1"/>
  <c r="AR147" i="9"/>
  <c r="AQ147" i="9" s="1"/>
  <c r="AQ144" i="1"/>
  <c r="AR146" i="9"/>
  <c r="AQ146" i="9" s="1"/>
  <c r="AQ54" i="1"/>
  <c r="AQ61" i="1"/>
  <c r="AR62" i="9"/>
  <c r="AQ62" i="9" s="1"/>
  <c r="AQ163" i="1"/>
  <c r="AR165" i="9"/>
  <c r="AQ165" i="9" s="1"/>
  <c r="AQ152" i="1"/>
  <c r="AR154" i="9"/>
  <c r="AQ154" i="9" s="1"/>
  <c r="AQ62" i="1"/>
  <c r="AR63" i="9"/>
  <c r="AQ63" i="9" s="1"/>
  <c r="AQ60" i="1"/>
  <c r="AQ150" i="1"/>
  <c r="AR152" i="9"/>
  <c r="AQ152" i="9" s="1"/>
  <c r="AQ151" i="1"/>
  <c r="AR153" i="9"/>
  <c r="AQ153" i="9" s="1"/>
  <c r="AQ146" i="1"/>
  <c r="AR148" i="9"/>
  <c r="AQ148" i="9" s="1"/>
  <c r="AQ169" i="1"/>
  <c r="AR171" i="9"/>
  <c r="AQ171" i="9" s="1"/>
  <c r="AQ49" i="1"/>
  <c r="AQ147" i="1"/>
  <c r="AR149" i="9"/>
  <c r="AQ149" i="9" s="1"/>
  <c r="AQ171" i="1"/>
  <c r="AR173" i="9"/>
  <c r="AQ173" i="9" s="1"/>
  <c r="AQ52" i="1"/>
  <c r="AQ139" i="1"/>
  <c r="AR141" i="9"/>
  <c r="AQ141" i="9" s="1"/>
  <c r="AQ167" i="1"/>
  <c r="AR169" i="9"/>
  <c r="AQ169" i="9" s="1"/>
  <c r="AQ56" i="1"/>
  <c r="AR56" i="9"/>
  <c r="AQ56" i="9" s="1"/>
  <c r="AQ50" i="1"/>
  <c r="AQ164" i="1"/>
  <c r="AR166" i="9"/>
  <c r="AQ166" i="9" s="1"/>
  <c r="AQ168" i="1"/>
  <c r="AR170" i="9"/>
  <c r="AQ170" i="9" s="1"/>
  <c r="AQ51" i="1"/>
  <c r="AR52" i="9"/>
  <c r="AQ52" i="9" s="1"/>
  <c r="AQ58" i="1"/>
  <c r="AR58" i="9"/>
  <c r="AQ58" i="9" s="1"/>
  <c r="AQ166" i="1"/>
  <c r="AR168" i="9"/>
  <c r="AQ168" i="9" s="1"/>
  <c r="AQ148" i="1"/>
  <c r="AR150" i="9"/>
  <c r="AQ150" i="9" s="1"/>
  <c r="AQ59" i="1"/>
  <c r="AR59" i="9"/>
  <c r="AQ59" i="9" s="1"/>
  <c r="AR140" i="9"/>
  <c r="AQ138" i="1"/>
  <c r="AQ170" i="1"/>
  <c r="AR172" i="9"/>
  <c r="AQ172" i="9" s="1"/>
  <c r="AQ161" i="1"/>
  <c r="AR163" i="9"/>
  <c r="AQ163" i="9" s="1"/>
  <c r="AQ55" i="1"/>
  <c r="AR55" i="9"/>
  <c r="AQ55" i="9" s="1"/>
  <c r="AQ66" i="1"/>
  <c r="N133" i="9" a="1"/>
  <c r="N133" i="9" s="1"/>
  <c r="Q133" i="9" a="1"/>
  <c r="Q133" i="9" s="1"/>
  <c r="Z133" i="9" a="1"/>
  <c r="Z133" i="9" s="1"/>
  <c r="AC133" i="9" a="1"/>
  <c r="AC133" i="9" s="1"/>
  <c r="AL133" i="9" a="1"/>
  <c r="AL133" i="9" s="1"/>
  <c r="K133" i="9" a="1"/>
  <c r="K133" i="9" s="1"/>
  <c r="T133" i="9" a="1"/>
  <c r="T133" i="9" s="1"/>
  <c r="W133" i="9" a="1"/>
  <c r="W133" i="9" s="1"/>
  <c r="AF133" i="9" a="1"/>
  <c r="AF133" i="9" s="1"/>
  <c r="AI133" i="9" a="1"/>
  <c r="AI133" i="9" s="1"/>
  <c r="AL23" i="9" a="1"/>
  <c r="AL23" i="9" s="1"/>
  <c r="N23" i="9" a="1"/>
  <c r="N23" i="9" s="1"/>
  <c r="AI23" i="9" a="1"/>
  <c r="AI23" i="9" s="1"/>
  <c r="K23" i="9" a="1"/>
  <c r="K23" i="9" s="1"/>
  <c r="Z23" i="9" a="1"/>
  <c r="Z23" i="9" s="1"/>
  <c r="W23" i="9" a="1"/>
  <c r="W23" i="9" s="1"/>
  <c r="Q23" i="9" a="1"/>
  <c r="Q23" i="9" s="1"/>
  <c r="AF23" i="9" a="1"/>
  <c r="AF23" i="9" s="1"/>
  <c r="AC23" i="9" a="1"/>
  <c r="AC23" i="9" s="1"/>
  <c r="T23" i="9" a="1"/>
  <c r="T23" i="9" s="1"/>
  <c r="K22" i="9" a="1"/>
  <c r="K22" i="9" s="1"/>
  <c r="W22" i="9" a="1"/>
  <c r="W22" i="9" s="1"/>
  <c r="Z22" i="9" a="1"/>
  <c r="Z22" i="9" s="1"/>
  <c r="AC22" i="9" a="1"/>
  <c r="AC22" i="9" s="1"/>
  <c r="AF22" i="9" a="1"/>
  <c r="AF22" i="9" s="1"/>
  <c r="AI22" i="9" a="1"/>
  <c r="AI22" i="9" s="1"/>
  <c r="AL22" i="9" a="1"/>
  <c r="AL22" i="9" s="1"/>
  <c r="T132" i="9" a="1"/>
  <c r="T132" i="9" s="1"/>
  <c r="Q132" i="9" a="1"/>
  <c r="Q132" i="9" s="1"/>
  <c r="AC132" i="9" a="1"/>
  <c r="AC132" i="9" s="1"/>
  <c r="K132" i="9" a="1"/>
  <c r="K132" i="9" s="1"/>
  <c r="N132" i="9" a="1"/>
  <c r="N132" i="9" s="1"/>
  <c r="AF132" i="9" a="1"/>
  <c r="AF132" i="9" s="1"/>
  <c r="AL132" i="9" a="1"/>
  <c r="AL132" i="9" s="1"/>
  <c r="AI132" i="9" a="1"/>
  <c r="AI132" i="9" s="1"/>
  <c r="W123" i="9" a="1"/>
  <c r="W123" i="9" s="1"/>
  <c r="Z123" i="9" a="1"/>
  <c r="Z123" i="9" s="1"/>
  <c r="AC123" i="9" a="1"/>
  <c r="AC123" i="9" s="1"/>
  <c r="AF123" i="9" a="1"/>
  <c r="AF123" i="9" s="1"/>
  <c r="AI123" i="9" a="1"/>
  <c r="AI123" i="9" s="1"/>
  <c r="K123" i="9" a="1"/>
  <c r="K123" i="9" s="1"/>
  <c r="N123" i="9" a="1"/>
  <c r="N123" i="9" s="1"/>
  <c r="Q123" i="9" a="1"/>
  <c r="Q123" i="9" s="1"/>
  <c r="AL123" i="9" a="1"/>
  <c r="AL123" i="9" s="1"/>
  <c r="K134" i="9" a="1"/>
  <c r="K134" i="9" s="1"/>
  <c r="T134" i="9" a="1"/>
  <c r="T134" i="9" s="1"/>
  <c r="W134" i="9" a="1"/>
  <c r="W134" i="9" s="1"/>
  <c r="AF134" i="9" a="1"/>
  <c r="AF134" i="9" s="1"/>
  <c r="AI134" i="9" a="1"/>
  <c r="AI134" i="9" s="1"/>
  <c r="N134" i="9" a="1"/>
  <c r="N134" i="9" s="1"/>
  <c r="Q134" i="9" a="1"/>
  <c r="Q134" i="9" s="1"/>
  <c r="Z134" i="9" a="1"/>
  <c r="Z134" i="9" s="1"/>
  <c r="AC134" i="9" a="1"/>
  <c r="AC134" i="9" s="1"/>
  <c r="AL134" i="9" a="1"/>
  <c r="AL134" i="9" s="1"/>
  <c r="AQ160" i="1"/>
  <c r="AR156" i="1"/>
  <c r="AQ140" i="1"/>
  <c r="AR136" i="1"/>
  <c r="AP118" i="1"/>
  <c r="AR118" i="1"/>
  <c r="AQ118" i="1" s="1"/>
  <c r="AP101" i="1"/>
  <c r="AV101" i="1" s="1"/>
  <c r="AR101" i="1"/>
  <c r="AQ101" i="1" s="1"/>
  <c r="AR95" i="1"/>
  <c r="AP95" i="1"/>
  <c r="AV95" i="1" s="1"/>
  <c r="AR94" i="1"/>
  <c r="AP94" i="1"/>
  <c r="AV94" i="1" s="1"/>
  <c r="AR93" i="1"/>
  <c r="AP93" i="1"/>
  <c r="AV93" i="1" s="1"/>
  <c r="AP92" i="1"/>
  <c r="AV92" i="1" s="1"/>
  <c r="AR117" i="1"/>
  <c r="AQ117" i="1" s="1"/>
  <c r="AP117" i="1"/>
  <c r="AV117" i="1" s="1"/>
  <c r="AV113" i="1"/>
  <c r="AV112" i="1"/>
  <c r="AV111" i="1"/>
  <c r="AV110" i="1"/>
  <c r="AR110" i="1"/>
  <c r="AV109" i="1"/>
  <c r="AR109" i="1"/>
  <c r="AP134" i="1"/>
  <c r="AR128" i="1"/>
  <c r="AP128" i="1"/>
  <c r="AV128" i="1" s="1"/>
  <c r="AR123" i="1"/>
  <c r="AP123" i="1"/>
  <c r="AV123" i="1" s="1"/>
  <c r="AR125" i="1"/>
  <c r="AP125" i="1"/>
  <c r="AV125" i="1" s="1"/>
  <c r="AR127" i="1"/>
  <c r="AP127" i="1"/>
  <c r="AV127" i="1" s="1"/>
  <c r="AP133" i="1"/>
  <c r="AR126" i="1"/>
  <c r="AP126" i="1"/>
  <c r="AV126" i="1" s="1"/>
  <c r="AR124" i="1"/>
  <c r="AP124" i="1"/>
  <c r="AV124" i="1" s="1"/>
  <c r="AP129" i="1"/>
  <c r="AV129" i="1" s="1"/>
  <c r="AR130" i="1"/>
  <c r="AQ130" i="1" s="1"/>
  <c r="AP130" i="1"/>
  <c r="AV130" i="1" s="1"/>
  <c r="AN130" i="9"/>
  <c r="AO130" i="9" s="1"/>
  <c r="AN95" i="9"/>
  <c r="AO95" i="9" s="1"/>
  <c r="AR92" i="1"/>
  <c r="AN113" i="9"/>
  <c r="AO113" i="9" s="1"/>
  <c r="AR113" i="1"/>
  <c r="AQ113" i="1" s="1"/>
  <c r="AR111" i="1"/>
  <c r="AQ111" i="1" s="1"/>
  <c r="AR112" i="1"/>
  <c r="AQ112" i="1" s="1"/>
  <c r="AN111" i="9"/>
  <c r="AO111" i="9" s="1"/>
  <c r="AN112" i="9"/>
  <c r="AO112" i="9" s="1"/>
  <c r="AN131" i="9"/>
  <c r="AO131" i="9" s="1"/>
  <c r="AN41" i="9"/>
  <c r="AO41" i="9" s="1"/>
  <c r="AN96" i="9"/>
  <c r="AO96" i="9" s="1"/>
  <c r="AN101" i="9"/>
  <c r="AO101" i="9" s="1"/>
  <c r="T85" i="9" a="1"/>
  <c r="T85" i="9" s="1"/>
  <c r="K122" i="9" a="1"/>
  <c r="K122" i="9" s="1"/>
  <c r="AI122" i="9" a="1"/>
  <c r="AI122" i="9" s="1"/>
  <c r="AF122" i="9" a="1"/>
  <c r="AF122" i="9" s="1"/>
  <c r="W122" i="9" a="1"/>
  <c r="W122" i="9" s="1"/>
  <c r="AU123" i="9"/>
  <c r="AC83" i="9" a="1"/>
  <c r="AC83" i="9" s="1"/>
  <c r="AL122" i="9" a="1"/>
  <c r="AL122" i="9" s="1"/>
  <c r="N122" i="9" a="1"/>
  <c r="N122" i="9" s="1"/>
  <c r="M120" i="9"/>
  <c r="AU132" i="9"/>
  <c r="AC122" i="9" a="1"/>
  <c r="AC122" i="9" s="1"/>
  <c r="Q122" i="9" a="1"/>
  <c r="Q122" i="9" s="1"/>
  <c r="AU134" i="9"/>
  <c r="AH120" i="9"/>
  <c r="AU122" i="9"/>
  <c r="AE120" i="9"/>
  <c r="AL83" i="9" a="1"/>
  <c r="AL83" i="9" s="1"/>
  <c r="AK120" i="9"/>
  <c r="AB120" i="9"/>
  <c r="P120" i="9"/>
  <c r="AU133" i="9"/>
  <c r="AU81" i="9"/>
  <c r="Y120" i="9"/>
  <c r="V120" i="9"/>
  <c r="S120" i="9"/>
  <c r="J120" i="9"/>
  <c r="AH79" i="9"/>
  <c r="S79" i="9"/>
  <c r="AB79" i="9"/>
  <c r="AC85" i="9" a="1"/>
  <c r="AC85" i="9" s="1"/>
  <c r="AF83" i="9" a="1"/>
  <c r="AF83" i="9" s="1"/>
  <c r="AI83" i="9" a="1"/>
  <c r="AI83" i="9" s="1"/>
  <c r="AC84" i="9" a="1"/>
  <c r="AC84" i="9" s="1"/>
  <c r="AC82" i="9" a="1"/>
  <c r="AC82" i="9" s="1"/>
  <c r="AL82" i="9" a="1"/>
  <c r="AL82" i="9" s="1"/>
  <c r="AI82" i="9" a="1"/>
  <c r="AI82" i="9" s="1"/>
  <c r="AF82" i="9" a="1"/>
  <c r="AF82" i="9" s="1"/>
  <c r="Q17" i="9" a="1"/>
  <c r="Q17" i="9" s="1"/>
  <c r="P79" i="9"/>
  <c r="AL84" i="9" a="1"/>
  <c r="AL84" i="9" s="1"/>
  <c r="AI84" i="9" a="1"/>
  <c r="AI84" i="9" s="1"/>
  <c r="AF84" i="9" a="1"/>
  <c r="AF84" i="9" s="1"/>
  <c r="K81" i="9" a="1"/>
  <c r="K81" i="9" s="1"/>
  <c r="AL85" i="9" a="1"/>
  <c r="AL85" i="9" s="1"/>
  <c r="AI85" i="9" a="1"/>
  <c r="AI85" i="9" s="1"/>
  <c r="AF85" i="9" a="1"/>
  <c r="AF85" i="9" s="1"/>
  <c r="AL81" i="9" a="1"/>
  <c r="AL81" i="9" s="1"/>
  <c r="AI81" i="9" a="1"/>
  <c r="AI81" i="9" s="1"/>
  <c r="AF81" i="9" a="1"/>
  <c r="AF81" i="9" s="1"/>
  <c r="AC81" i="9" a="1"/>
  <c r="AC81" i="9" s="1"/>
  <c r="Z81" i="9" a="1"/>
  <c r="Z81" i="9" s="1"/>
  <c r="W81" i="9" a="1"/>
  <c r="W81" i="9" s="1"/>
  <c r="T81" i="9" a="1"/>
  <c r="T81" i="9" s="1"/>
  <c r="Q81" i="9" a="1"/>
  <c r="Q81" i="9" s="1"/>
  <c r="N81" i="9" a="1"/>
  <c r="N81" i="9" s="1"/>
  <c r="AK79" i="9"/>
  <c r="AE79" i="9"/>
  <c r="M79" i="9"/>
  <c r="AC17" i="9" a="1"/>
  <c r="AC17" i="9" s="1"/>
  <c r="Q85" i="9" a="1"/>
  <c r="Q85" i="9" s="1"/>
  <c r="N85" i="9" a="1"/>
  <c r="N85" i="9" s="1"/>
  <c r="J79" i="9"/>
  <c r="K85" i="9" a="1"/>
  <c r="K85" i="9" s="1"/>
  <c r="T82" i="9" a="1"/>
  <c r="T82" i="9" s="1"/>
  <c r="Q82" i="9" a="1"/>
  <c r="Q82" i="9" s="1"/>
  <c r="N82" i="9" a="1"/>
  <c r="N82" i="9" s="1"/>
  <c r="K82" i="9" a="1"/>
  <c r="K82" i="9" s="1"/>
  <c r="K83" i="9" a="1"/>
  <c r="K83" i="9" s="1"/>
  <c r="N83" i="9" a="1"/>
  <c r="N83" i="9" s="1"/>
  <c r="Q83" i="9" a="1"/>
  <c r="Q83" i="9" s="1"/>
  <c r="T83" i="9" a="1"/>
  <c r="T83" i="9" s="1"/>
  <c r="K84" i="9" a="1"/>
  <c r="K84" i="9" s="1"/>
  <c r="N84" i="9" a="1"/>
  <c r="N84" i="9" s="1"/>
  <c r="Q84" i="9" a="1"/>
  <c r="Q84" i="9" s="1"/>
  <c r="T84" i="9" a="1"/>
  <c r="T84" i="9" s="1"/>
  <c r="AU22" i="9"/>
  <c r="AU17" i="9"/>
  <c r="N17" i="9" a="1"/>
  <c r="N17" i="9" s="1"/>
  <c r="AF17" i="9" a="1"/>
  <c r="AF17" i="9" s="1"/>
  <c r="AI17" i="9" a="1"/>
  <c r="AI17" i="9" s="1"/>
  <c r="W17" i="9" a="1"/>
  <c r="W17" i="9" s="1"/>
  <c r="K17" i="9" a="1"/>
  <c r="K17" i="9" s="1"/>
  <c r="T17" i="9" a="1"/>
  <c r="T17" i="9" s="1"/>
  <c r="AU23" i="9"/>
  <c r="AL17" i="9" a="1"/>
  <c r="AL17" i="9" s="1"/>
  <c r="Z17" i="9" a="1"/>
  <c r="Z17" i="9" s="1"/>
  <c r="AU131" i="1"/>
  <c r="AS131" i="1" s="1"/>
  <c r="AU132" i="1"/>
  <c r="AT132" i="1" s="1"/>
  <c r="AU122" i="1"/>
  <c r="AT122" i="1" s="1"/>
  <c r="AL122" i="1" a="1"/>
  <c r="AL122" i="1" s="1"/>
  <c r="AI122" i="1" a="1"/>
  <c r="AI122" i="1" s="1"/>
  <c r="AF122" i="1" a="1"/>
  <c r="AF122" i="1" s="1"/>
  <c r="AC122" i="1" a="1"/>
  <c r="AC122" i="1" s="1"/>
  <c r="W122" i="1" a="1"/>
  <c r="W122" i="1" s="1"/>
  <c r="Q122" i="1" a="1"/>
  <c r="Q122" i="1" s="1"/>
  <c r="N122" i="1" a="1"/>
  <c r="N122" i="1" s="1"/>
  <c r="K122" i="1" a="1"/>
  <c r="K122" i="1" s="1"/>
  <c r="AK120" i="1"/>
  <c r="AH120" i="1"/>
  <c r="AE120" i="1"/>
  <c r="AB120" i="1"/>
  <c r="Y120" i="1"/>
  <c r="V120" i="1"/>
  <c r="S120" i="1"/>
  <c r="P120" i="1"/>
  <c r="M120" i="1"/>
  <c r="J120" i="1"/>
  <c r="AC97" i="1" a="1"/>
  <c r="AC97" i="1" s="1"/>
  <c r="AF97" i="1" a="1"/>
  <c r="AF97" i="1" s="1"/>
  <c r="AI97" i="1" a="1"/>
  <c r="AI97" i="1" s="1"/>
  <c r="AL97" i="1" a="1"/>
  <c r="AL97" i="1" s="1"/>
  <c r="AU97" i="1"/>
  <c r="AS97" i="1" s="1"/>
  <c r="AU85" i="1"/>
  <c r="AT85" i="1" s="1"/>
  <c r="AL85" i="1" a="1"/>
  <c r="AL85" i="1" s="1"/>
  <c r="AI85" i="1" a="1"/>
  <c r="AI85" i="1" s="1"/>
  <c r="AF85" i="1" a="1"/>
  <c r="AF85" i="1" s="1"/>
  <c r="AC85" i="1" a="1"/>
  <c r="AC85" i="1" s="1"/>
  <c r="AU84" i="1"/>
  <c r="AT84" i="1" s="1"/>
  <c r="AL84" i="1" a="1"/>
  <c r="AL84" i="1" s="1"/>
  <c r="AI84" i="1" a="1"/>
  <c r="AI84" i="1" s="1"/>
  <c r="AF84" i="1" a="1"/>
  <c r="AF84" i="1" s="1"/>
  <c r="AC84" i="1" a="1"/>
  <c r="AC84" i="1" s="1"/>
  <c r="AU83" i="1"/>
  <c r="AS83" i="1" s="1"/>
  <c r="AL83" i="1" a="1"/>
  <c r="AL83" i="1" s="1"/>
  <c r="AI83" i="1" a="1"/>
  <c r="AI83" i="1" s="1"/>
  <c r="AF83" i="1" a="1"/>
  <c r="AF83" i="1" s="1"/>
  <c r="AC83" i="1" a="1"/>
  <c r="AC83" i="1" s="1"/>
  <c r="AU82" i="1"/>
  <c r="AT82" i="1" s="1"/>
  <c r="AL82" i="1" a="1"/>
  <c r="AL82" i="1" s="1"/>
  <c r="AI82" i="1" a="1"/>
  <c r="AI82" i="1" s="1"/>
  <c r="AF82" i="1" a="1"/>
  <c r="AF82" i="1" s="1"/>
  <c r="AC82" i="1" a="1"/>
  <c r="AC82" i="1" s="1"/>
  <c r="AU81" i="1"/>
  <c r="AT81" i="1" s="1"/>
  <c r="AL81" i="1" a="1"/>
  <c r="AL81" i="1" s="1"/>
  <c r="AI81" i="1" a="1"/>
  <c r="AI81" i="1" s="1"/>
  <c r="AF81" i="1" a="1"/>
  <c r="AF81" i="1" s="1"/>
  <c r="AC81" i="1" a="1"/>
  <c r="AC81" i="1" s="1"/>
  <c r="AK79" i="1"/>
  <c r="AH79" i="1"/>
  <c r="AE79" i="1"/>
  <c r="AB79" i="1"/>
  <c r="Y79" i="1"/>
  <c r="V79" i="1"/>
  <c r="S79" i="1"/>
  <c r="P79" i="1"/>
  <c r="M79" i="1"/>
  <c r="J79" i="1"/>
  <c r="AQ156" i="9" l="1"/>
  <c r="AR156" i="9"/>
  <c r="AQ140" i="9"/>
  <c r="AQ136" i="9" s="1"/>
  <c r="AR136" i="9"/>
  <c r="AQ156" i="1"/>
  <c r="AQ136" i="1"/>
  <c r="AQ95" i="1"/>
  <c r="AQ94" i="1"/>
  <c r="AQ93" i="1"/>
  <c r="AQ92" i="1"/>
  <c r="AQ110" i="1"/>
  <c r="AQ109" i="1"/>
  <c r="AQ124" i="1"/>
  <c r="AQ127" i="1"/>
  <c r="AQ123" i="1"/>
  <c r="AQ125" i="1"/>
  <c r="AQ126" i="1"/>
  <c r="AQ128" i="1"/>
  <c r="AN134" i="1"/>
  <c r="AO134" i="1" s="1"/>
  <c r="AN133" i="1"/>
  <c r="AO133" i="1" s="1"/>
  <c r="AU120" i="9"/>
  <c r="AL79" i="9"/>
  <c r="AN122" i="9"/>
  <c r="AO122" i="9" s="1"/>
  <c r="Z120" i="9"/>
  <c r="N120" i="9"/>
  <c r="AC120" i="9"/>
  <c r="AN133" i="9"/>
  <c r="Q120" i="9"/>
  <c r="AN123" i="9"/>
  <c r="AO123" i="9" s="1"/>
  <c r="AN134" i="9"/>
  <c r="AO134" i="9" s="1"/>
  <c r="AN132" i="9"/>
  <c r="AO132" i="9" s="1"/>
  <c r="K120" i="9"/>
  <c r="W120" i="9"/>
  <c r="AI120" i="9"/>
  <c r="AL120" i="9"/>
  <c r="T120" i="9"/>
  <c r="AF120" i="9"/>
  <c r="AI79" i="9"/>
  <c r="AF79" i="9"/>
  <c r="AN81" i="9"/>
  <c r="AO81" i="9" s="1"/>
  <c r="Q79" i="9"/>
  <c r="T79" i="9"/>
  <c r="N79" i="9"/>
  <c r="K79" i="9"/>
  <c r="AN22" i="9"/>
  <c r="AO22" i="9" s="1"/>
  <c r="AN17" i="9"/>
  <c r="AN23" i="9"/>
  <c r="AO23" i="9" s="1"/>
  <c r="AN131" i="1"/>
  <c r="AO131" i="1" s="1"/>
  <c r="N120" i="1"/>
  <c r="AL120" i="1"/>
  <c r="AC120" i="1"/>
  <c r="AT131" i="1"/>
  <c r="AI120" i="1"/>
  <c r="AF120" i="1"/>
  <c r="AS122" i="1"/>
  <c r="W120" i="1"/>
  <c r="Z120" i="1"/>
  <c r="Q120" i="1"/>
  <c r="AT133" i="9"/>
  <c r="AN122" i="1"/>
  <c r="T120" i="1"/>
  <c r="K120" i="1"/>
  <c r="AN132" i="1"/>
  <c r="AO132" i="1" s="1"/>
  <c r="AU120" i="1"/>
  <c r="AS132" i="1"/>
  <c r="AS128" i="9" s="1"/>
  <c r="AN97" i="1"/>
  <c r="AO97" i="1" s="1"/>
  <c r="AT97" i="1"/>
  <c r="AS84" i="1"/>
  <c r="AR84" i="1" s="1"/>
  <c r="AQ84" i="1" s="1"/>
  <c r="Z79" i="1"/>
  <c r="AT83" i="1"/>
  <c r="AT85" i="9" s="1"/>
  <c r="AS85" i="1"/>
  <c r="AN84" i="1"/>
  <c r="AO84" i="1" s="1"/>
  <c r="AC79" i="1"/>
  <c r="AI79" i="1"/>
  <c r="AF79" i="1"/>
  <c r="AN85" i="1"/>
  <c r="AO85" i="1" s="1"/>
  <c r="W79" i="1"/>
  <c r="T79" i="1"/>
  <c r="K79" i="1"/>
  <c r="AN81" i="1"/>
  <c r="AO81" i="1" s="1"/>
  <c r="AN82" i="1"/>
  <c r="AO82" i="1" s="1"/>
  <c r="Q79" i="1"/>
  <c r="N79" i="1"/>
  <c r="AL79" i="1"/>
  <c r="AN83" i="1"/>
  <c r="AS81" i="1"/>
  <c r="AS82" i="1"/>
  <c r="AU79" i="1"/>
  <c r="AC22" i="1" a="1"/>
  <c r="AC22" i="1" s="1"/>
  <c r="AF22" i="1" a="1"/>
  <c r="AF22" i="1" s="1"/>
  <c r="AI22" i="1" a="1"/>
  <c r="AI22" i="1" s="1"/>
  <c r="AL22" i="1" a="1"/>
  <c r="AL22" i="1" s="1"/>
  <c r="AU22" i="1"/>
  <c r="AT22" i="1" s="1"/>
  <c r="N17" i="1" a="1"/>
  <c r="N17" i="1" s="1"/>
  <c r="Q17" i="1" a="1"/>
  <c r="Q17" i="1" s="1"/>
  <c r="T17" i="1" a="1"/>
  <c r="T17" i="1" s="1"/>
  <c r="W17" i="1" a="1"/>
  <c r="W17" i="1" s="1"/>
  <c r="Z17" i="1" a="1"/>
  <c r="Z17" i="1" s="1"/>
  <c r="AC17" i="1" a="1"/>
  <c r="AC17" i="1" s="1"/>
  <c r="AF17" i="1" a="1"/>
  <c r="AF17" i="1" s="1"/>
  <c r="AI17" i="1" a="1"/>
  <c r="AI17" i="1" s="1"/>
  <c r="AL17" i="1" a="1"/>
  <c r="AL17" i="1" s="1"/>
  <c r="AU17" i="1"/>
  <c r="AU23" i="1"/>
  <c r="AS23" i="1" s="1"/>
  <c r="AT131" i="9" l="1"/>
  <c r="AT124" i="9"/>
  <c r="AT126" i="9"/>
  <c r="AS127" i="9"/>
  <c r="AT127" i="9"/>
  <c r="AT129" i="9"/>
  <c r="AT130" i="9"/>
  <c r="AS125" i="9"/>
  <c r="AS82" i="9"/>
  <c r="AS130" i="9"/>
  <c r="AS124" i="9"/>
  <c r="AT125" i="9"/>
  <c r="AS126" i="9"/>
  <c r="AT132" i="9"/>
  <c r="AT128" i="9"/>
  <c r="AP128" i="9" s="1"/>
  <c r="AV128" i="9" s="1"/>
  <c r="AS131" i="9"/>
  <c r="AP131" i="9" s="1"/>
  <c r="AV131" i="9" s="1"/>
  <c r="AS129" i="9"/>
  <c r="AV134" i="1"/>
  <c r="AV133" i="1"/>
  <c r="AO17" i="9"/>
  <c r="AR97" i="1"/>
  <c r="AT81" i="9"/>
  <c r="AT84" i="9"/>
  <c r="AS81" i="9"/>
  <c r="AP81" i="9" s="1"/>
  <c r="AV81" i="9" s="1"/>
  <c r="AT82" i="9"/>
  <c r="AS123" i="9"/>
  <c r="AT122" i="9"/>
  <c r="AS132" i="9"/>
  <c r="AT123" i="9"/>
  <c r="AR122" i="1"/>
  <c r="AS83" i="9"/>
  <c r="AS133" i="9"/>
  <c r="AP133" i="9" s="1"/>
  <c r="AV133" i="9" s="1"/>
  <c r="AS134" i="9"/>
  <c r="AT134" i="9"/>
  <c r="AP84" i="1"/>
  <c r="AV84" i="1" s="1"/>
  <c r="AS84" i="9"/>
  <c r="AT79" i="1"/>
  <c r="AT83" i="9"/>
  <c r="AP122" i="1"/>
  <c r="AV122" i="1" s="1"/>
  <c r="AS122" i="9"/>
  <c r="AR85" i="1"/>
  <c r="AQ85" i="1" s="1"/>
  <c r="AS85" i="9"/>
  <c r="AN120" i="9"/>
  <c r="AO133" i="9"/>
  <c r="AO120" i="9" s="1"/>
  <c r="AT120" i="1"/>
  <c r="AS17" i="1"/>
  <c r="AP131" i="1"/>
  <c r="AV131" i="1" s="1"/>
  <c r="AR131" i="1"/>
  <c r="AP132" i="1"/>
  <c r="AV132" i="1" s="1"/>
  <c r="AR132" i="1"/>
  <c r="AS120" i="1"/>
  <c r="AN120" i="1"/>
  <c r="AO122" i="1"/>
  <c r="AO120" i="1" s="1"/>
  <c r="AP97" i="1"/>
  <c r="AV97" i="1" s="1"/>
  <c r="AP85" i="1"/>
  <c r="AV85" i="1" s="1"/>
  <c r="AP83" i="1"/>
  <c r="AV83" i="1" s="1"/>
  <c r="AO83" i="1"/>
  <c r="AO79" i="1" s="1"/>
  <c r="AR83" i="1"/>
  <c r="AQ83" i="1" s="1"/>
  <c r="AP82" i="1"/>
  <c r="AV82" i="1" s="1"/>
  <c r="AR82" i="1"/>
  <c r="AQ82" i="1" s="1"/>
  <c r="AR81" i="1"/>
  <c r="AP81" i="1"/>
  <c r="AS79" i="1"/>
  <c r="AN79" i="1"/>
  <c r="AN22" i="1"/>
  <c r="AO22" i="1" s="1"/>
  <c r="AS22" i="1"/>
  <c r="AS22" i="9" s="1"/>
  <c r="AN17" i="1"/>
  <c r="AT17" i="1"/>
  <c r="AN23" i="1"/>
  <c r="AO23" i="1" s="1"/>
  <c r="AT23" i="1"/>
  <c r="AP124" i="9" l="1"/>
  <c r="AV124" i="9" s="1"/>
  <c r="AP132" i="9"/>
  <c r="AV132" i="9" s="1"/>
  <c r="AP130" i="9"/>
  <c r="AV130" i="9" s="1"/>
  <c r="AP129" i="9"/>
  <c r="AV129" i="9" s="1"/>
  <c r="AP127" i="9"/>
  <c r="AV127" i="9" s="1"/>
  <c r="AP126" i="9"/>
  <c r="AV126" i="9" s="1"/>
  <c r="AP125" i="9"/>
  <c r="AV125" i="9" s="1"/>
  <c r="AR81" i="9"/>
  <c r="AQ81" i="9" s="1"/>
  <c r="AR127" i="9"/>
  <c r="AQ127" i="9" s="1"/>
  <c r="AT17" i="9"/>
  <c r="AS17" i="9"/>
  <c r="AR130" i="9"/>
  <c r="AQ130" i="9" s="1"/>
  <c r="AR124" i="9"/>
  <c r="AQ124" i="9" s="1"/>
  <c r="AR126" i="9"/>
  <c r="AQ126" i="9" s="1"/>
  <c r="AR128" i="9"/>
  <c r="AQ128" i="9" s="1"/>
  <c r="AR125" i="9"/>
  <c r="AQ125" i="9" s="1"/>
  <c r="AP23" i="1"/>
  <c r="AV23" i="1" s="1"/>
  <c r="AR131" i="9"/>
  <c r="AQ131" i="9" s="1"/>
  <c r="AR129" i="9"/>
  <c r="AQ129" i="9" s="1"/>
  <c r="AO17" i="1"/>
  <c r="AT22" i="9"/>
  <c r="AP22" i="9" s="1"/>
  <c r="AV22" i="9" s="1"/>
  <c r="AT79" i="9"/>
  <c r="AQ97" i="1"/>
  <c r="AP123" i="9"/>
  <c r="AV123" i="9" s="1"/>
  <c r="AR122" i="9"/>
  <c r="AQ122" i="9" s="1"/>
  <c r="AQ122" i="1"/>
  <c r="AS79" i="9"/>
  <c r="AT120" i="9"/>
  <c r="AP134" i="9"/>
  <c r="AV134" i="9" s="1"/>
  <c r="AQ131" i="1"/>
  <c r="AR132" i="9"/>
  <c r="AQ132" i="9" s="1"/>
  <c r="AP122" i="9"/>
  <c r="AS120" i="9"/>
  <c r="AR123" i="9"/>
  <c r="AQ132" i="1"/>
  <c r="AR133" i="9"/>
  <c r="AQ133" i="9" s="1"/>
  <c r="AR134" i="9"/>
  <c r="AQ134" i="9" s="1"/>
  <c r="AR120" i="1"/>
  <c r="AP120" i="1"/>
  <c r="AP79" i="1"/>
  <c r="AV81" i="1"/>
  <c r="AQ81" i="1"/>
  <c r="AQ79" i="1" s="1"/>
  <c r="AR79" i="1"/>
  <c r="AR22" i="1"/>
  <c r="AP22" i="1"/>
  <c r="AV22" i="1" s="1"/>
  <c r="AR23" i="1"/>
  <c r="AR17" i="1"/>
  <c r="AP17" i="1"/>
  <c r="AP17" i="9" l="1"/>
  <c r="AV17" i="9" s="1"/>
  <c r="AV17" i="1"/>
  <c r="AQ120" i="1"/>
  <c r="AQ17" i="1"/>
  <c r="AR17" i="9"/>
  <c r="AQ23" i="1"/>
  <c r="AQ22" i="1"/>
  <c r="AR22" i="9"/>
  <c r="AQ22" i="9" s="1"/>
  <c r="AQ123" i="9"/>
  <c r="AQ120" i="9" s="1"/>
  <c r="AR120" i="9"/>
  <c r="AP120" i="9"/>
  <c r="AV122" i="9"/>
  <c r="AQ17" i="9" l="1"/>
  <c r="S89" i="9" a="1"/>
  <c r="S89" i="9" s="1"/>
  <c r="P89" i="9" a="1"/>
  <c r="P89" i="9" s="1"/>
  <c r="M89" i="9" a="1"/>
  <c r="M89" i="9" s="1"/>
  <c r="J89" i="9" a="1"/>
  <c r="J89" i="9" s="1"/>
  <c r="S105" i="9" a="1"/>
  <c r="S105" i="9" s="1"/>
  <c r="P105" i="9" a="1"/>
  <c r="P105" i="9" s="1"/>
  <c r="J105" i="9" a="1"/>
  <c r="J105" i="9" s="1"/>
  <c r="M105" i="9" a="1"/>
  <c r="M105" i="9" s="1"/>
  <c r="L105" i="9"/>
  <c r="O105" i="9"/>
  <c r="R105" i="9"/>
  <c r="U105" i="9"/>
  <c r="X105" i="9"/>
  <c r="AA105" i="9"/>
  <c r="AD105" i="9"/>
  <c r="AG105" i="9"/>
  <c r="AJ105" i="9"/>
  <c r="AM105" i="9"/>
  <c r="AU105" i="9" l="1"/>
  <c r="AU118" i="9"/>
  <c r="I24" i="9"/>
  <c r="H24" i="9"/>
  <c r="G24" i="9"/>
  <c r="F24" i="9"/>
  <c r="E24" i="9"/>
  <c r="D24" i="9"/>
  <c r="C24" i="9"/>
  <c r="B24" i="9"/>
  <c r="S15" i="9"/>
  <c r="Y15" i="9"/>
  <c r="AB15" i="9"/>
  <c r="AE15" i="9"/>
  <c r="AH15" i="9"/>
  <c r="AK15" i="9"/>
  <c r="C105" i="9"/>
  <c r="C106" i="9"/>
  <c r="C107" i="9"/>
  <c r="C114" i="9"/>
  <c r="C115" i="9"/>
  <c r="C116" i="9"/>
  <c r="C118" i="9"/>
  <c r="B105" i="9"/>
  <c r="B106" i="9"/>
  <c r="B107" i="9"/>
  <c r="B114" i="9"/>
  <c r="B115" i="9"/>
  <c r="B116" i="9"/>
  <c r="B118" i="9"/>
  <c r="D105" i="9"/>
  <c r="D106" i="9"/>
  <c r="D107" i="9"/>
  <c r="D114" i="9"/>
  <c r="D115" i="9"/>
  <c r="D116" i="9"/>
  <c r="D118" i="9"/>
  <c r="E105" i="9"/>
  <c r="E106" i="9"/>
  <c r="E107" i="9"/>
  <c r="E114" i="9"/>
  <c r="E115" i="9"/>
  <c r="E116" i="9"/>
  <c r="E118" i="9"/>
  <c r="F105" i="9"/>
  <c r="F106" i="9"/>
  <c r="F107" i="9"/>
  <c r="F114" i="9"/>
  <c r="F115" i="9"/>
  <c r="F116" i="9"/>
  <c r="F118" i="9"/>
  <c r="G105" i="9"/>
  <c r="G106" i="9"/>
  <c r="G107" i="9"/>
  <c r="G114" i="9"/>
  <c r="G115" i="9"/>
  <c r="G116" i="9"/>
  <c r="G118" i="9"/>
  <c r="H105" i="9"/>
  <c r="H106" i="9"/>
  <c r="H107" i="9"/>
  <c r="H114" i="9"/>
  <c r="H115" i="9"/>
  <c r="H116" i="9"/>
  <c r="H118" i="9"/>
  <c r="I105" i="9"/>
  <c r="I106" i="9"/>
  <c r="I107" i="9"/>
  <c r="I114" i="9"/>
  <c r="I115" i="9"/>
  <c r="I116" i="9"/>
  <c r="I118" i="9"/>
  <c r="AU106" i="9"/>
  <c r="AU107" i="9"/>
  <c r="AU114" i="9"/>
  <c r="AU115" i="9"/>
  <c r="AU116" i="9"/>
  <c r="M103" i="9"/>
  <c r="V103" i="9"/>
  <c r="Y103" i="9"/>
  <c r="AK103" i="9"/>
  <c r="C89" i="9"/>
  <c r="C90" i="9"/>
  <c r="C91" i="9"/>
  <c r="C97" i="9"/>
  <c r="C98" i="9"/>
  <c r="C99" i="9"/>
  <c r="C100" i="9"/>
  <c r="B89" i="9"/>
  <c r="B90" i="9"/>
  <c r="B91" i="9"/>
  <c r="B97" i="9"/>
  <c r="B98" i="9"/>
  <c r="B99" i="9"/>
  <c r="B100" i="9"/>
  <c r="D89" i="9"/>
  <c r="D90" i="9"/>
  <c r="D91" i="9"/>
  <c r="D97" i="9"/>
  <c r="D98" i="9"/>
  <c r="D99" i="9"/>
  <c r="D100" i="9"/>
  <c r="E89" i="9"/>
  <c r="E90" i="9"/>
  <c r="E91" i="9"/>
  <c r="E97" i="9"/>
  <c r="E98" i="9"/>
  <c r="E99" i="9"/>
  <c r="E100" i="9"/>
  <c r="F89" i="9"/>
  <c r="F90" i="9"/>
  <c r="F91" i="9"/>
  <c r="F97" i="9"/>
  <c r="F98" i="9"/>
  <c r="F99" i="9"/>
  <c r="F100" i="9"/>
  <c r="G89" i="9"/>
  <c r="G90" i="9"/>
  <c r="G91" i="9"/>
  <c r="G97" i="9"/>
  <c r="G98" i="9"/>
  <c r="G99" i="9"/>
  <c r="G100" i="9"/>
  <c r="H89" i="9"/>
  <c r="H90" i="9"/>
  <c r="H91" i="9"/>
  <c r="H97" i="9"/>
  <c r="H98" i="9"/>
  <c r="H99" i="9"/>
  <c r="H100" i="9"/>
  <c r="I89" i="9"/>
  <c r="I90" i="9"/>
  <c r="I91" i="9"/>
  <c r="I97" i="9"/>
  <c r="I98" i="9"/>
  <c r="I99" i="9"/>
  <c r="I100" i="9"/>
  <c r="L89" i="9"/>
  <c r="O89" i="9"/>
  <c r="R89" i="9"/>
  <c r="U89" i="9"/>
  <c r="X89" i="9"/>
  <c r="AA89" i="9"/>
  <c r="AU100" i="9"/>
  <c r="AD89" i="9"/>
  <c r="AG89" i="9"/>
  <c r="AJ89" i="9"/>
  <c r="AM89" i="9"/>
  <c r="AU89" i="9"/>
  <c r="AU91" i="9"/>
  <c r="AU97" i="9"/>
  <c r="AU99" i="9"/>
  <c r="C46" i="9"/>
  <c r="C47" i="9"/>
  <c r="C57" i="9"/>
  <c r="C69" i="9"/>
  <c r="C70" i="9"/>
  <c r="C71" i="9"/>
  <c r="C72" i="9"/>
  <c r="C73" i="9"/>
  <c r="C74" i="9"/>
  <c r="C75" i="9"/>
  <c r="C76" i="9"/>
  <c r="B46" i="9"/>
  <c r="B47" i="9"/>
  <c r="B57" i="9"/>
  <c r="B69" i="9"/>
  <c r="B70" i="9"/>
  <c r="B71" i="9"/>
  <c r="B72" i="9"/>
  <c r="B73" i="9"/>
  <c r="B74" i="9"/>
  <c r="B75" i="9"/>
  <c r="B76" i="9"/>
  <c r="L29" i="9"/>
  <c r="O29" i="9"/>
  <c r="R29" i="9"/>
  <c r="U29" i="9"/>
  <c r="X29" i="9"/>
  <c r="AA29" i="9"/>
  <c r="AD29" i="9"/>
  <c r="AG29" i="9"/>
  <c r="AJ29" i="9"/>
  <c r="AM29" i="9"/>
  <c r="AM46" i="9"/>
  <c r="AK46" i="9"/>
  <c r="AJ46" i="9"/>
  <c r="AH46" i="9"/>
  <c r="AG46" i="9"/>
  <c r="AE46" i="9"/>
  <c r="AD46" i="9"/>
  <c r="AB46" i="9"/>
  <c r="AA46" i="9"/>
  <c r="Y46" i="9"/>
  <c r="X46" i="9"/>
  <c r="V46" i="9"/>
  <c r="U46" i="9"/>
  <c r="S46" i="9"/>
  <c r="R46" i="9"/>
  <c r="P46" i="9"/>
  <c r="O46" i="9"/>
  <c r="M46" i="9"/>
  <c r="L46" i="9"/>
  <c r="J46" i="9"/>
  <c r="I46" i="9"/>
  <c r="I47" i="9"/>
  <c r="I57" i="9"/>
  <c r="I69" i="9"/>
  <c r="I70" i="9"/>
  <c r="I71" i="9"/>
  <c r="I72" i="9"/>
  <c r="I73" i="9"/>
  <c r="I74" i="9"/>
  <c r="I75" i="9"/>
  <c r="I76" i="9"/>
  <c r="H46" i="9"/>
  <c r="H47" i="9"/>
  <c r="H57" i="9"/>
  <c r="H69" i="9"/>
  <c r="H70" i="9"/>
  <c r="H71" i="9"/>
  <c r="H72" i="9"/>
  <c r="H73" i="9"/>
  <c r="H74" i="9"/>
  <c r="H75" i="9"/>
  <c r="H76" i="9"/>
  <c r="G46" i="9"/>
  <c r="G47" i="9"/>
  <c r="G57" i="9"/>
  <c r="G69" i="9"/>
  <c r="G70" i="9"/>
  <c r="G71" i="9"/>
  <c r="G72" i="9"/>
  <c r="G73" i="9"/>
  <c r="G74" i="9"/>
  <c r="G75" i="9"/>
  <c r="G76" i="9"/>
  <c r="F46" i="9"/>
  <c r="F47" i="9"/>
  <c r="F57" i="9"/>
  <c r="F69" i="9"/>
  <c r="F70" i="9"/>
  <c r="F71" i="9"/>
  <c r="F72" i="9"/>
  <c r="F73" i="9"/>
  <c r="F74" i="9"/>
  <c r="F75" i="9"/>
  <c r="F76" i="9"/>
  <c r="E46" i="9"/>
  <c r="E47" i="9"/>
  <c r="E57" i="9"/>
  <c r="E69" i="9"/>
  <c r="E70" i="9"/>
  <c r="E71" i="9"/>
  <c r="E72" i="9"/>
  <c r="E73" i="9"/>
  <c r="E74" i="9"/>
  <c r="E75" i="9"/>
  <c r="E76" i="9"/>
  <c r="D46" i="9"/>
  <c r="D47" i="9"/>
  <c r="D57" i="9"/>
  <c r="D69" i="9"/>
  <c r="D70" i="9"/>
  <c r="D71" i="9"/>
  <c r="D72" i="9"/>
  <c r="D73" i="9"/>
  <c r="D74" i="9"/>
  <c r="D75" i="9"/>
  <c r="D76" i="9"/>
  <c r="AK29" i="9"/>
  <c r="AH29" i="9"/>
  <c r="AE29" i="9"/>
  <c r="AB29" i="9"/>
  <c r="Y29" i="9"/>
  <c r="V29" i="9"/>
  <c r="S29" i="9"/>
  <c r="P29" i="9"/>
  <c r="M29" i="9"/>
  <c r="J29" i="9"/>
  <c r="I29" i="9"/>
  <c r="I40" i="9"/>
  <c r="H29" i="9"/>
  <c r="H40" i="9"/>
  <c r="B29" i="9"/>
  <c r="B40" i="9"/>
  <c r="C29" i="9"/>
  <c r="G29" i="9"/>
  <c r="G40" i="9"/>
  <c r="F29" i="9"/>
  <c r="F40" i="9"/>
  <c r="E29" i="9"/>
  <c r="E40" i="9"/>
  <c r="D29" i="9"/>
  <c r="D40" i="9"/>
  <c r="C40" i="9"/>
  <c r="AE103" i="9"/>
  <c r="AB103" i="9"/>
  <c r="S103" i="9"/>
  <c r="P103" i="9"/>
  <c r="AK87" i="9"/>
  <c r="AH87" i="9"/>
  <c r="AE87" i="9"/>
  <c r="Y87" i="9"/>
  <c r="V87" i="9"/>
  <c r="S87" i="9"/>
  <c r="P87" i="9"/>
  <c r="M87" i="9"/>
  <c r="J87" i="9"/>
  <c r="P15" i="9"/>
  <c r="K29" i="9" l="1" a="1"/>
  <c r="K29" i="9" s="1"/>
  <c r="P10" i="9"/>
  <c r="P9" i="9"/>
  <c r="S9" i="9"/>
  <c r="S10" i="9"/>
  <c r="AE9" i="9"/>
  <c r="AE10" i="9"/>
  <c r="AB10" i="9"/>
  <c r="AB9" i="9"/>
  <c r="J10" i="9"/>
  <c r="J9" i="9"/>
  <c r="V10" i="9"/>
  <c r="V9" i="9"/>
  <c r="AH10" i="9"/>
  <c r="AH9" i="9"/>
  <c r="M9" i="9"/>
  <c r="M10" i="9"/>
  <c r="Y9" i="9"/>
  <c r="Y10" i="9"/>
  <c r="AK9" i="9"/>
  <c r="AK10" i="9"/>
  <c r="N74" i="9" a="1"/>
  <c r="N74" i="9" s="1"/>
  <c r="W74" i="9" a="1"/>
  <c r="W74" i="9" s="1"/>
  <c r="AF74" i="9" a="1"/>
  <c r="AF74" i="9" s="1"/>
  <c r="Q74" i="9" a="1"/>
  <c r="Q74" i="9" s="1"/>
  <c r="Z74" i="9" a="1"/>
  <c r="Z74" i="9" s="1"/>
  <c r="AI74" i="9" a="1"/>
  <c r="AI74" i="9" s="1"/>
  <c r="K74" i="9" a="1"/>
  <c r="K74" i="9" s="1"/>
  <c r="T74" i="9" a="1"/>
  <c r="T74" i="9" s="1"/>
  <c r="AC74" i="9" a="1"/>
  <c r="AC74" i="9" s="1"/>
  <c r="AL74" i="9" a="1"/>
  <c r="AL74" i="9" s="1"/>
  <c r="T70" i="9" a="1"/>
  <c r="T70" i="9" s="1"/>
  <c r="N70" i="9" a="1"/>
  <c r="N70" i="9" s="1"/>
  <c r="AF70" i="9" a="1"/>
  <c r="AF70" i="9" s="1"/>
  <c r="Q70" i="9" a="1"/>
  <c r="Q70" i="9" s="1"/>
  <c r="AI70" i="9" a="1"/>
  <c r="AI70" i="9" s="1"/>
  <c r="K70" i="9" a="1"/>
  <c r="K70" i="9" s="1"/>
  <c r="W70" i="9" a="1"/>
  <c r="W70" i="9" s="1"/>
  <c r="AC70" i="9" a="1"/>
  <c r="AC70" i="9" s="1"/>
  <c r="AL70" i="9" a="1"/>
  <c r="AL70" i="9" s="1"/>
  <c r="W100" i="9" a="1"/>
  <c r="W100" i="9" s="1"/>
  <c r="Z100" i="9" a="1"/>
  <c r="Z100" i="9" s="1"/>
  <c r="AC100" i="9" a="1"/>
  <c r="AC100" i="9" s="1"/>
  <c r="AF100" i="9" a="1"/>
  <c r="AF100" i="9" s="1"/>
  <c r="AI100" i="9" a="1"/>
  <c r="AI100" i="9" s="1"/>
  <c r="AL100" i="9" a="1"/>
  <c r="AL100" i="9" s="1"/>
  <c r="T100" i="9" a="1"/>
  <c r="T100" i="9" s="1"/>
  <c r="N100" i="9" a="1"/>
  <c r="N100" i="9" s="1"/>
  <c r="Q100" i="9" a="1"/>
  <c r="Q100" i="9" s="1"/>
  <c r="K100" i="9" a="1"/>
  <c r="K100" i="9" s="1"/>
  <c r="Z91" i="9" a="1"/>
  <c r="Z91" i="9" s="1"/>
  <c r="K91" i="9" a="1"/>
  <c r="K91" i="9" s="1"/>
  <c r="AL91" i="9" a="1"/>
  <c r="AL91" i="9" s="1"/>
  <c r="W91" i="9" a="1"/>
  <c r="W91" i="9" s="1"/>
  <c r="AF91" i="9" a="1"/>
  <c r="AF91" i="9" s="1"/>
  <c r="AI91" i="9" a="1"/>
  <c r="AI91" i="9" s="1"/>
  <c r="Q91" i="9" a="1"/>
  <c r="Q91" i="9" s="1"/>
  <c r="N91" i="9" a="1"/>
  <c r="N91" i="9" s="1"/>
  <c r="AC91" i="9" a="1"/>
  <c r="AC91" i="9" s="1"/>
  <c r="Q114" i="9" a="1"/>
  <c r="Q114" i="9" s="1"/>
  <c r="T114" i="9" a="1"/>
  <c r="T114" i="9" s="1"/>
  <c r="W114" i="9" a="1"/>
  <c r="W114" i="9" s="1"/>
  <c r="N114" i="9" a="1"/>
  <c r="N114" i="9" s="1"/>
  <c r="K114" i="9" a="1"/>
  <c r="K114" i="9" s="1"/>
  <c r="AL114" i="9" a="1"/>
  <c r="AL114" i="9" s="1"/>
  <c r="AF114" i="9" a="1"/>
  <c r="AF114" i="9" s="1"/>
  <c r="AC114" i="9" a="1"/>
  <c r="AC114" i="9" s="1"/>
  <c r="AI114" i="9" a="1"/>
  <c r="AI114" i="9" s="1"/>
  <c r="K24" i="9" a="1"/>
  <c r="K24" i="9" s="1"/>
  <c r="N24" i="9" a="1"/>
  <c r="N24" i="9" s="1"/>
  <c r="Q24" i="9" a="1"/>
  <c r="Q24" i="9" s="1"/>
  <c r="T24" i="9" a="1"/>
  <c r="T24" i="9" s="1"/>
  <c r="W24" i="9" a="1"/>
  <c r="W24" i="9" s="1"/>
  <c r="Z24" i="9" a="1"/>
  <c r="Z24" i="9" s="1"/>
  <c r="AC24" i="9" a="1"/>
  <c r="AC24" i="9" s="1"/>
  <c r="AF24" i="9" a="1"/>
  <c r="AF24" i="9" s="1"/>
  <c r="AI24" i="9" a="1"/>
  <c r="AI24" i="9" s="1"/>
  <c r="AL24" i="9" a="1"/>
  <c r="AL24" i="9" s="1"/>
  <c r="K71" i="9" a="1"/>
  <c r="K71" i="9" s="1"/>
  <c r="T71" i="9" a="1"/>
  <c r="T71" i="9" s="1"/>
  <c r="AC71" i="9" a="1"/>
  <c r="AC71" i="9" s="1"/>
  <c r="AL71" i="9" a="1"/>
  <c r="AL71" i="9" s="1"/>
  <c r="N71" i="9" a="1"/>
  <c r="N71" i="9" s="1"/>
  <c r="W71" i="9" a="1"/>
  <c r="W71" i="9" s="1"/>
  <c r="AF71" i="9" a="1"/>
  <c r="AF71" i="9" s="1"/>
  <c r="Q71" i="9" a="1"/>
  <c r="Q71" i="9" s="1"/>
  <c r="AI71" i="9" a="1"/>
  <c r="AI71" i="9" s="1"/>
  <c r="K40" i="9" a="1"/>
  <c r="K40" i="9" s="1"/>
  <c r="N40" i="9" a="1"/>
  <c r="N40" i="9" s="1"/>
  <c r="Q40" i="9" a="1"/>
  <c r="Q40" i="9" s="1"/>
  <c r="T40" i="9" a="1"/>
  <c r="T40" i="9" s="1"/>
  <c r="W40" i="9" a="1"/>
  <c r="W40" i="9" s="1"/>
  <c r="Z40" i="9" a="1"/>
  <c r="Z40" i="9" s="1"/>
  <c r="AC40" i="9" a="1"/>
  <c r="AC40" i="9" s="1"/>
  <c r="AF40" i="9" a="1"/>
  <c r="AF40" i="9" s="1"/>
  <c r="AI40" i="9" a="1"/>
  <c r="AI40" i="9" s="1"/>
  <c r="AL40" i="9" a="1"/>
  <c r="AL40" i="9" s="1"/>
  <c r="N73" i="9" a="1"/>
  <c r="N73" i="9" s="1"/>
  <c r="AI73" i="9" a="1"/>
  <c r="AI73" i="9" s="1"/>
  <c r="Q73" i="9" a="1"/>
  <c r="Q73" i="9" s="1"/>
  <c r="W73" i="9" a="1"/>
  <c r="W73" i="9" s="1"/>
  <c r="AC73" i="9" a="1"/>
  <c r="AC73" i="9" s="1"/>
  <c r="AL73" i="9" a="1"/>
  <c r="AL73" i="9" s="1"/>
  <c r="T73" i="9" a="1"/>
  <c r="T73" i="9" s="1"/>
  <c r="AF73" i="9" a="1"/>
  <c r="AF73" i="9" s="1"/>
  <c r="N69" i="9" a="1"/>
  <c r="N69" i="9" s="1"/>
  <c r="Z69" i="9" a="1"/>
  <c r="Z69" i="9" s="1"/>
  <c r="AL69" i="9" a="1"/>
  <c r="AL69" i="9" s="1"/>
  <c r="T69" i="9" a="1"/>
  <c r="T69" i="9" s="1"/>
  <c r="AF69" i="9" a="1"/>
  <c r="AF69" i="9" s="1"/>
  <c r="Q69" i="9" a="1"/>
  <c r="Q69" i="9" s="1"/>
  <c r="K69" i="9" a="1"/>
  <c r="K69" i="9" s="1"/>
  <c r="W69" i="9" a="1"/>
  <c r="W69" i="9" s="1"/>
  <c r="AI69" i="9" a="1"/>
  <c r="AI69" i="9" s="1"/>
  <c r="AC69" i="9" a="1"/>
  <c r="AC69" i="9" s="1"/>
  <c r="N99" i="9" a="1"/>
  <c r="N99" i="9" s="1"/>
  <c r="Q99" i="9" a="1"/>
  <c r="Q99" i="9" s="1"/>
  <c r="T99" i="9" a="1"/>
  <c r="T99" i="9" s="1"/>
  <c r="AC99" i="9" a="1"/>
  <c r="AC99" i="9" s="1"/>
  <c r="AL99" i="9" a="1"/>
  <c r="AL99" i="9" s="1"/>
  <c r="K99" i="9" a="1"/>
  <c r="K99" i="9" s="1"/>
  <c r="AF99" i="9" a="1"/>
  <c r="AF99" i="9" s="1"/>
  <c r="AI99" i="9" a="1"/>
  <c r="AI99" i="9" s="1"/>
  <c r="T90" i="9" a="1"/>
  <c r="T90" i="9" s="1"/>
  <c r="W90" i="9" a="1"/>
  <c r="W90" i="9" s="1"/>
  <c r="Z90" i="9" a="1"/>
  <c r="Z90" i="9" s="1"/>
  <c r="AC90" i="9" a="1"/>
  <c r="AC90" i="9" s="1"/>
  <c r="Q90" i="9" a="1"/>
  <c r="Q90" i="9" s="1"/>
  <c r="AL90" i="9" a="1"/>
  <c r="AL90" i="9" s="1"/>
  <c r="K90" i="9" a="1"/>
  <c r="K90" i="9" s="1"/>
  <c r="N90" i="9" a="1"/>
  <c r="N90" i="9" s="1"/>
  <c r="AI90" i="9" a="1"/>
  <c r="AI90" i="9" s="1"/>
  <c r="AF90" i="9" a="1"/>
  <c r="AF90" i="9" s="1"/>
  <c r="N118" i="9" a="1"/>
  <c r="N118" i="9" s="1"/>
  <c r="Q118" i="9" a="1"/>
  <c r="Q118" i="9" s="1"/>
  <c r="T118" i="9" a="1"/>
  <c r="T118" i="9" s="1"/>
  <c r="AC118" i="9" a="1"/>
  <c r="AC118" i="9" s="1"/>
  <c r="AF118" i="9" a="1"/>
  <c r="AF118" i="9" s="1"/>
  <c r="W118" i="9" a="1"/>
  <c r="W118" i="9" s="1"/>
  <c r="Z118" i="9" a="1"/>
  <c r="Z118" i="9" s="1"/>
  <c r="AL118" i="9" a="1"/>
  <c r="AL118" i="9" s="1"/>
  <c r="AI118" i="9" a="1"/>
  <c r="AI118" i="9" s="1"/>
  <c r="K118" i="9" a="1"/>
  <c r="K118" i="9" s="1"/>
  <c r="Q107" i="9" a="1"/>
  <c r="Q107" i="9" s="1"/>
  <c r="W107" i="9" a="1"/>
  <c r="W107" i="9" s="1"/>
  <c r="K107" i="9" a="1"/>
  <c r="K107" i="9" s="1"/>
  <c r="AL107" i="9" a="1"/>
  <c r="AL107" i="9" s="1"/>
  <c r="AC107" i="9" a="1"/>
  <c r="AC107" i="9" s="1"/>
  <c r="AF107" i="9" a="1"/>
  <c r="AF107" i="9" s="1"/>
  <c r="AI107" i="9" a="1"/>
  <c r="AI107" i="9" s="1"/>
  <c r="N107" i="9" a="1"/>
  <c r="N107" i="9" s="1"/>
  <c r="Z107" i="9" a="1"/>
  <c r="Z107" i="9" s="1"/>
  <c r="K75" i="9" a="1"/>
  <c r="K75" i="9" s="1"/>
  <c r="T75" i="9" a="1"/>
  <c r="T75" i="9" s="1"/>
  <c r="AC75" i="9" a="1"/>
  <c r="AC75" i="9" s="1"/>
  <c r="AL75" i="9" a="1"/>
  <c r="AL75" i="9" s="1"/>
  <c r="N75" i="9" a="1"/>
  <c r="N75" i="9" s="1"/>
  <c r="W75" i="9" a="1"/>
  <c r="W75" i="9" s="1"/>
  <c r="AF75" i="9" a="1"/>
  <c r="AF75" i="9" s="1"/>
  <c r="Q75" i="9" a="1"/>
  <c r="Q75" i="9" s="1"/>
  <c r="Z75" i="9" a="1"/>
  <c r="Z75" i="9" s="1"/>
  <c r="AI75" i="9" a="1"/>
  <c r="AI75" i="9" s="1"/>
  <c r="N47" i="9" a="1"/>
  <c r="N47" i="9" s="1"/>
  <c r="Q47" i="9" a="1"/>
  <c r="Q47" i="9" s="1"/>
  <c r="T47" i="9" a="1"/>
  <c r="T47" i="9" s="1"/>
  <c r="W47" i="9" a="1"/>
  <c r="W47" i="9" s="1"/>
  <c r="Z47" i="9" a="1"/>
  <c r="Z47" i="9" s="1"/>
  <c r="AC47" i="9" a="1"/>
  <c r="AC47" i="9" s="1"/>
  <c r="AF47" i="9" a="1"/>
  <c r="AF47" i="9" s="1"/>
  <c r="AI47" i="9" a="1"/>
  <c r="AI47" i="9" s="1"/>
  <c r="AL47" i="9" a="1"/>
  <c r="AL47" i="9" s="1"/>
  <c r="AC97" i="9" a="1"/>
  <c r="AC97" i="9" s="1"/>
  <c r="AF97" i="9" a="1"/>
  <c r="AF97" i="9" s="1"/>
  <c r="AI97" i="9" a="1"/>
  <c r="AI97" i="9" s="1"/>
  <c r="K97" i="9" a="1"/>
  <c r="K97" i="9" s="1"/>
  <c r="AL97" i="9" a="1"/>
  <c r="AL97" i="9" s="1"/>
  <c r="Q97" i="9" a="1"/>
  <c r="Q97" i="9" s="1"/>
  <c r="W97" i="9" a="1"/>
  <c r="W97" i="9" s="1"/>
  <c r="N97" i="9" a="1"/>
  <c r="N97" i="9" s="1"/>
  <c r="T97" i="9" a="1"/>
  <c r="T97" i="9" s="1"/>
  <c r="K115" i="9" a="1"/>
  <c r="K115" i="9" s="1"/>
  <c r="N115" i="9" a="1"/>
  <c r="N115" i="9" s="1"/>
  <c r="Q115" i="9" a="1"/>
  <c r="Q115" i="9" s="1"/>
  <c r="W115" i="9" a="1"/>
  <c r="W115" i="9" s="1"/>
  <c r="AC115" i="9" a="1"/>
  <c r="AC115" i="9" s="1"/>
  <c r="T115" i="9" a="1"/>
  <c r="T115" i="9" s="1"/>
  <c r="AI115" i="9" a="1"/>
  <c r="AI115" i="9" s="1"/>
  <c r="AL115" i="9" a="1"/>
  <c r="AL115" i="9" s="1"/>
  <c r="AF115" i="9" a="1"/>
  <c r="AF115" i="9" s="1"/>
  <c r="Q76" i="9" a="1"/>
  <c r="Q76" i="9" s="1"/>
  <c r="Z76" i="9" a="1"/>
  <c r="Z76" i="9" s="1"/>
  <c r="AI76" i="9" a="1"/>
  <c r="AI76" i="9" s="1"/>
  <c r="K76" i="9" a="1"/>
  <c r="K76" i="9" s="1"/>
  <c r="T76" i="9" a="1"/>
  <c r="T76" i="9" s="1"/>
  <c r="AC76" i="9" a="1"/>
  <c r="AC76" i="9" s="1"/>
  <c r="AL76" i="9" a="1"/>
  <c r="AL76" i="9" s="1"/>
  <c r="N76" i="9" a="1"/>
  <c r="N76" i="9" s="1"/>
  <c r="W76" i="9" a="1"/>
  <c r="W76" i="9" s="1"/>
  <c r="AF76" i="9" a="1"/>
  <c r="AF76" i="9" s="1"/>
  <c r="Q72" i="9" a="1"/>
  <c r="Q72" i="9" s="1"/>
  <c r="AI72" i="9" a="1"/>
  <c r="AI72" i="9" s="1"/>
  <c r="K72" i="9" a="1"/>
  <c r="K72" i="9" s="1"/>
  <c r="T72" i="9" a="1"/>
  <c r="T72" i="9" s="1"/>
  <c r="AC72" i="9" a="1"/>
  <c r="AC72" i="9" s="1"/>
  <c r="AL72" i="9" a="1"/>
  <c r="AL72" i="9" s="1"/>
  <c r="N72" i="9" a="1"/>
  <c r="N72" i="9" s="1"/>
  <c r="W72" i="9" a="1"/>
  <c r="W72" i="9" s="1"/>
  <c r="AF72" i="9" a="1"/>
  <c r="AF72" i="9" s="1"/>
  <c r="T57" i="9" a="1"/>
  <c r="T57" i="9" s="1"/>
  <c r="AF57" i="9" a="1"/>
  <c r="AF57" i="9" s="1"/>
  <c r="N57" i="9" a="1"/>
  <c r="N57" i="9" s="1"/>
  <c r="AL57" i="9" a="1"/>
  <c r="AL57" i="9" s="1"/>
  <c r="K57" i="9" a="1"/>
  <c r="K57" i="9" s="1"/>
  <c r="W57" i="9" a="1"/>
  <c r="W57" i="9" s="1"/>
  <c r="AI57" i="9" a="1"/>
  <c r="AI57" i="9" s="1"/>
  <c r="AC57" i="9" a="1"/>
  <c r="AC57" i="9" s="1"/>
  <c r="Z57" i="9" a="1"/>
  <c r="Z57" i="9" s="1"/>
  <c r="AF98" i="9" a="1"/>
  <c r="AF98" i="9" s="1"/>
  <c r="AI98" i="9" a="1"/>
  <c r="AI98" i="9" s="1"/>
  <c r="AL98" i="9" a="1"/>
  <c r="AL98" i="9" s="1"/>
  <c r="T98" i="9" a="1"/>
  <c r="T98" i="9" s="1"/>
  <c r="W98" i="9" a="1"/>
  <c r="W98" i="9" s="1"/>
  <c r="AC98" i="9" a="1"/>
  <c r="AC98" i="9" s="1"/>
  <c r="K98" i="9" a="1"/>
  <c r="K98" i="9" s="1"/>
  <c r="N98" i="9" a="1"/>
  <c r="N98" i="9" s="1"/>
  <c r="Q98" i="9" a="1"/>
  <c r="Q98" i="9" s="1"/>
  <c r="Q116" i="9" a="1"/>
  <c r="Q116" i="9" s="1"/>
  <c r="T116" i="9" a="1"/>
  <c r="T116" i="9" s="1"/>
  <c r="AF116" i="9" a="1"/>
  <c r="AF116" i="9" s="1"/>
  <c r="AI116" i="9" a="1"/>
  <c r="AI116" i="9" s="1"/>
  <c r="AC116" i="9" a="1"/>
  <c r="AC116" i="9" s="1"/>
  <c r="AL116" i="9" a="1"/>
  <c r="AL116" i="9" s="1"/>
  <c r="N116" i="9" a="1"/>
  <c r="N116" i="9" s="1"/>
  <c r="K116" i="9" a="1"/>
  <c r="K116" i="9" s="1"/>
  <c r="W106" i="9" a="1"/>
  <c r="W106" i="9" s="1"/>
  <c r="Z106" i="9" a="1"/>
  <c r="Z106" i="9" s="1"/>
  <c r="AC106" i="9" a="1"/>
  <c r="AC106" i="9" s="1"/>
  <c r="AI106" i="9" a="1"/>
  <c r="AI106" i="9" s="1"/>
  <c r="AL106" i="9" a="1"/>
  <c r="AL106" i="9" s="1"/>
  <c r="AF106" i="9" a="1"/>
  <c r="AF106" i="9" s="1"/>
  <c r="K106" i="9" a="1"/>
  <c r="K106" i="9" s="1"/>
  <c r="N106" i="9" a="1"/>
  <c r="N106" i="9" s="1"/>
  <c r="Q106" i="9" a="1"/>
  <c r="Q106" i="9" s="1"/>
  <c r="T106" i="9" a="1"/>
  <c r="T106" i="9" s="1"/>
  <c r="Y8" i="9"/>
  <c r="Y6" i="9"/>
  <c r="Y7" i="9"/>
  <c r="P7" i="9"/>
  <c r="P8" i="9"/>
  <c r="P6" i="9"/>
  <c r="AH8" i="9"/>
  <c r="AH7" i="9"/>
  <c r="AH6" i="9"/>
  <c r="S6" i="9"/>
  <c r="S7" i="9"/>
  <c r="S8" i="9"/>
  <c r="AB6" i="9"/>
  <c r="AB7" i="9"/>
  <c r="AB8" i="9"/>
  <c r="M7" i="9"/>
  <c r="M6" i="9"/>
  <c r="M8" i="9"/>
  <c r="AK8" i="9"/>
  <c r="AK6" i="9"/>
  <c r="AK7" i="9"/>
  <c r="V6" i="9"/>
  <c r="V7" i="9"/>
  <c r="V8" i="9"/>
  <c r="AE8" i="9"/>
  <c r="AE6" i="9"/>
  <c r="AE7" i="9"/>
  <c r="Q105" i="9" a="1"/>
  <c r="Q105" i="9" s="1"/>
  <c r="J8" i="9"/>
  <c r="J6" i="9"/>
  <c r="J7" i="9"/>
  <c r="J15" i="9"/>
  <c r="V15" i="9"/>
  <c r="AL29" i="9" a="1"/>
  <c r="AL29" i="9" s="1"/>
  <c r="AB44" i="9"/>
  <c r="AF89" i="9" a="1"/>
  <c r="AF89" i="9" s="1"/>
  <c r="AC89" i="9" a="1"/>
  <c r="AC89" i="9" s="1"/>
  <c r="W89" i="9" a="1"/>
  <c r="W89" i="9" s="1"/>
  <c r="Z89" i="9" a="1"/>
  <c r="Z89" i="9" s="1"/>
  <c r="Q89" i="9" a="1"/>
  <c r="Q89" i="9" s="1"/>
  <c r="AU24" i="9"/>
  <c r="P27" i="9"/>
  <c r="AU46" i="9"/>
  <c r="M44" i="9"/>
  <c r="AL89" i="9" a="1"/>
  <c r="AL89" i="9" s="1"/>
  <c r="AI89" i="9" a="1"/>
  <c r="AI89" i="9" s="1"/>
  <c r="N89" i="9" a="1"/>
  <c r="N89" i="9" s="1"/>
  <c r="M27" i="9"/>
  <c r="V27" i="9"/>
  <c r="W29" i="9" a="1"/>
  <c r="W29" i="9" s="1"/>
  <c r="AI46" i="9" a="1"/>
  <c r="AI46" i="9" s="1"/>
  <c r="K46" i="9" a="1"/>
  <c r="K46" i="9" s="1"/>
  <c r="AE27" i="9"/>
  <c r="N29" i="9" a="1"/>
  <c r="N29" i="9" s="1"/>
  <c r="AC46" i="9" a="1"/>
  <c r="AC46" i="9" s="1"/>
  <c r="AU73" i="9"/>
  <c r="AU47" i="9"/>
  <c r="P44" i="9"/>
  <c r="AK44" i="9"/>
  <c r="M15" i="9"/>
  <c r="AU72" i="9"/>
  <c r="AF29" i="9" a="1"/>
  <c r="AF29" i="9" s="1"/>
  <c r="Z29" i="9" a="1"/>
  <c r="Z29" i="9" s="1"/>
  <c r="AI29" i="9" a="1"/>
  <c r="AI29" i="9" s="1"/>
  <c r="AK27" i="9"/>
  <c r="AU75" i="9"/>
  <c r="AU71" i="9"/>
  <c r="V44" i="9"/>
  <c r="Y44" i="9"/>
  <c r="T46" i="9" a="1"/>
  <c r="T46" i="9" s="1"/>
  <c r="J44" i="9"/>
  <c r="AU69" i="9"/>
  <c r="AL46" i="9" a="1"/>
  <c r="AL46" i="9" s="1"/>
  <c r="AF46" i="9" a="1"/>
  <c r="AF46" i="9" s="1"/>
  <c r="AU57" i="9"/>
  <c r="AH44" i="9"/>
  <c r="Q29" i="9" a="1"/>
  <c r="Q29" i="9" s="1"/>
  <c r="AC29" i="9" a="1"/>
  <c r="AC29" i="9" s="1"/>
  <c r="S27" i="9"/>
  <c r="AH27" i="9"/>
  <c r="Q46" i="9" a="1"/>
  <c r="Q46" i="9" s="1"/>
  <c r="AE44" i="9"/>
  <c r="AU74" i="9"/>
  <c r="T29" i="9" a="1"/>
  <c r="T29" i="9" s="1"/>
  <c r="AU76" i="9"/>
  <c r="AU70" i="9"/>
  <c r="N46" i="9" a="1"/>
  <c r="N46" i="9" s="1"/>
  <c r="S44" i="9"/>
  <c r="W46" i="9" a="1"/>
  <c r="W46" i="9" s="1"/>
  <c r="Z46" i="9" a="1"/>
  <c r="Z46" i="9" s="1"/>
  <c r="AF105" i="9" a="1"/>
  <c r="AF105" i="9" s="1"/>
  <c r="K105" i="9" a="1"/>
  <c r="K105" i="9" s="1"/>
  <c r="W105" i="9" a="1"/>
  <c r="W105" i="9" s="1"/>
  <c r="AC105" i="9" a="1"/>
  <c r="AC105" i="9" s="1"/>
  <c r="Z105" i="9" a="1"/>
  <c r="Z105" i="9" s="1"/>
  <c r="AL105" i="9" a="1"/>
  <c r="AL105" i="9" s="1"/>
  <c r="N105" i="9" a="1"/>
  <c r="N105" i="9" s="1"/>
  <c r="AI105" i="9" a="1"/>
  <c r="AI105" i="9" s="1"/>
  <c r="J103" i="9"/>
  <c r="AH103" i="9"/>
  <c r="AU98" i="9"/>
  <c r="AU90" i="9"/>
  <c r="AB87" i="9"/>
  <c r="K89" i="9" a="1"/>
  <c r="K89" i="9" s="1"/>
  <c r="AU40" i="9"/>
  <c r="AB27" i="9"/>
  <c r="Y27" i="9"/>
  <c r="AU29" i="9"/>
  <c r="AU103" i="9"/>
  <c r="J27" i="9"/>
  <c r="K6" i="9" l="1"/>
  <c r="N9" i="9"/>
  <c r="N10" i="9"/>
  <c r="AI9" i="9"/>
  <c r="AI10" i="9"/>
  <c r="K10" i="9"/>
  <c r="K9" i="9"/>
  <c r="AL9" i="9"/>
  <c r="AL10" i="9"/>
  <c r="AF10" i="9"/>
  <c r="AF9" i="9"/>
  <c r="T9" i="9"/>
  <c r="T10" i="9"/>
  <c r="AC10" i="9"/>
  <c r="AC9" i="9"/>
  <c r="Q10" i="9"/>
  <c r="Q9" i="9"/>
  <c r="AN118" i="9"/>
  <c r="AO118" i="9" s="1"/>
  <c r="AN105" i="9"/>
  <c r="AO105" i="9" s="1"/>
  <c r="AF15" i="9"/>
  <c r="AF8" i="9"/>
  <c r="AF6" i="9"/>
  <c r="AF7" i="9"/>
  <c r="Z15" i="9"/>
  <c r="AC7" i="9"/>
  <c r="AC8" i="9"/>
  <c r="AC6" i="9"/>
  <c r="T8" i="9"/>
  <c r="T6" i="9"/>
  <c r="T7" i="9"/>
  <c r="Q7" i="9"/>
  <c r="Q8" i="9"/>
  <c r="Q6" i="9"/>
  <c r="N6" i="9"/>
  <c r="N7" i="9"/>
  <c r="N8" i="9"/>
  <c r="AI8" i="9"/>
  <c r="AI6" i="9"/>
  <c r="AI7" i="9"/>
  <c r="AL15" i="9"/>
  <c r="AL6" i="9"/>
  <c r="AL7" i="9"/>
  <c r="AL8" i="9"/>
  <c r="K8" i="9"/>
  <c r="K7" i="9"/>
  <c r="W15" i="9"/>
  <c r="K15" i="9"/>
  <c r="AC15" i="9"/>
  <c r="Q15" i="9"/>
  <c r="AI15" i="9"/>
  <c r="AN89" i="9"/>
  <c r="AO89" i="9" s="1"/>
  <c r="W87" i="9"/>
  <c r="AN114" i="9"/>
  <c r="AO114" i="9" s="1"/>
  <c r="AN115" i="9"/>
  <c r="AO115" i="9" s="1"/>
  <c r="AN97" i="9"/>
  <c r="Z44" i="9"/>
  <c r="T44" i="9"/>
  <c r="K44" i="9"/>
  <c r="AL44" i="9"/>
  <c r="AN98" i="9"/>
  <c r="AO98" i="9" s="1"/>
  <c r="AN107" i="9"/>
  <c r="AO107" i="9" s="1"/>
  <c r="Q44" i="9"/>
  <c r="N44" i="9"/>
  <c r="AN47" i="9"/>
  <c r="AO47" i="9" s="1"/>
  <c r="AN91" i="9"/>
  <c r="AO91" i="9" s="1"/>
  <c r="AN99" i="9"/>
  <c r="AO99" i="9" s="1"/>
  <c r="AN100" i="9"/>
  <c r="AO100" i="9" s="1"/>
  <c r="AN90" i="9"/>
  <c r="AO90" i="9" s="1"/>
  <c r="AN74" i="9"/>
  <c r="AO74" i="9" s="1"/>
  <c r="AF44" i="9"/>
  <c r="AN75" i="9"/>
  <c r="AO75" i="9" s="1"/>
  <c r="AN46" i="9"/>
  <c r="AO46" i="9" s="1"/>
  <c r="AC44" i="9"/>
  <c r="AU44" i="9"/>
  <c r="W44" i="9"/>
  <c r="AN69" i="9"/>
  <c r="AO69" i="9" s="1"/>
  <c r="AN70" i="9"/>
  <c r="AO70" i="9" s="1"/>
  <c r="AN57" i="9"/>
  <c r="AO57" i="9" s="1"/>
  <c r="AN72" i="9"/>
  <c r="AO72" i="9" s="1"/>
  <c r="AN73" i="9"/>
  <c r="AN76" i="9"/>
  <c r="AO76" i="9" s="1"/>
  <c r="AN71" i="9"/>
  <c r="AO71" i="9" s="1"/>
  <c r="K87" i="9"/>
  <c r="AN24" i="9"/>
  <c r="N15" i="9"/>
  <c r="AN116" i="9"/>
  <c r="AO116" i="9" s="1"/>
  <c r="AN106" i="9"/>
  <c r="AO106" i="9" s="1"/>
  <c r="K103" i="9"/>
  <c r="AU87" i="9"/>
  <c r="AU27" i="9"/>
  <c r="AI27" i="9"/>
  <c r="AI44" i="9"/>
  <c r="AC87" i="9"/>
  <c r="AL27" i="9"/>
  <c r="T15" i="9"/>
  <c r="AC27" i="9"/>
  <c r="Z27" i="9"/>
  <c r="W27" i="9"/>
  <c r="AN40" i="9"/>
  <c r="AO40" i="9" s="1"/>
  <c r="N87" i="9"/>
  <c r="AI87" i="9"/>
  <c r="AF27" i="9"/>
  <c r="Q27" i="9"/>
  <c r="T27" i="9"/>
  <c r="AN29" i="9"/>
  <c r="N27" i="9"/>
  <c r="K27" i="9"/>
  <c r="AU15" i="9"/>
  <c r="AC103" i="9"/>
  <c r="AI103" i="9"/>
  <c r="AF103" i="9"/>
  <c r="Z87" i="9"/>
  <c r="T87" i="9"/>
  <c r="Q103" i="9"/>
  <c r="T103" i="9"/>
  <c r="N103" i="9"/>
  <c r="W103" i="9"/>
  <c r="AL103" i="9"/>
  <c r="Z103" i="9"/>
  <c r="AF87" i="9"/>
  <c r="AL87" i="9"/>
  <c r="Q87" i="9"/>
  <c r="AU105" i="1"/>
  <c r="AU106" i="1"/>
  <c r="AS106" i="1" s="1"/>
  <c r="AU107" i="1"/>
  <c r="AT107" i="1" s="1"/>
  <c r="AU108" i="1"/>
  <c r="AS108" i="1" s="1"/>
  <c r="AU114" i="1"/>
  <c r="AS114" i="1" s="1"/>
  <c r="AU115" i="1"/>
  <c r="AT115" i="1" s="1"/>
  <c r="AU116" i="1"/>
  <c r="AS116" i="1" s="1"/>
  <c r="AC99" i="1" a="1"/>
  <c r="AC99" i="1" s="1"/>
  <c r="AF99" i="1" a="1"/>
  <c r="AF99" i="1" s="1"/>
  <c r="AI99" i="1" a="1"/>
  <c r="AI99" i="1" s="1"/>
  <c r="AL99" i="1" a="1"/>
  <c r="AL99" i="1" s="1"/>
  <c r="AU89" i="1"/>
  <c r="AS89" i="1" s="1"/>
  <c r="AU90" i="1"/>
  <c r="AT90" i="1" s="1"/>
  <c r="AU91" i="1"/>
  <c r="AT91" i="1" s="1"/>
  <c r="AU96" i="1"/>
  <c r="AT96" i="1" s="1"/>
  <c r="AU98" i="1"/>
  <c r="AT98" i="1" s="1"/>
  <c r="AU99" i="1"/>
  <c r="AT99" i="1" s="1"/>
  <c r="AU100" i="1"/>
  <c r="AS100" i="1" s="1"/>
  <c r="AU46" i="1"/>
  <c r="AS46" i="1" s="1"/>
  <c r="AU47" i="1"/>
  <c r="AS47" i="1" s="1"/>
  <c r="AU68" i="1"/>
  <c r="AT68" i="1" s="1"/>
  <c r="AU69" i="1"/>
  <c r="AT69" i="1" s="1"/>
  <c r="AU70" i="1"/>
  <c r="AT70" i="1" s="1"/>
  <c r="AU71" i="1"/>
  <c r="AT71" i="1" s="1"/>
  <c r="AU72" i="1"/>
  <c r="AS72" i="1" s="1"/>
  <c r="AU73" i="1"/>
  <c r="AS73" i="1" s="1"/>
  <c r="AU74" i="1"/>
  <c r="AS74" i="1" s="1"/>
  <c r="AU75" i="1"/>
  <c r="AS75" i="1" s="1"/>
  <c r="AU76" i="1"/>
  <c r="AS76" i="1" s="1"/>
  <c r="AC40" i="1" a="1"/>
  <c r="AC40" i="1" s="1"/>
  <c r="AC41" i="1" a="1"/>
  <c r="AC41" i="1" s="1"/>
  <c r="AF40" i="1" a="1"/>
  <c r="AF40" i="1" s="1"/>
  <c r="AF41" i="1" a="1"/>
  <c r="AF41" i="1" s="1"/>
  <c r="AI40" i="1" a="1"/>
  <c r="AI40" i="1" s="1"/>
  <c r="AI41" i="1" a="1"/>
  <c r="AI41" i="1" s="1"/>
  <c r="AL40" i="1" a="1"/>
  <c r="AL40" i="1" s="1"/>
  <c r="AL41" i="1" a="1"/>
  <c r="AL41" i="1" s="1"/>
  <c r="AU29" i="1"/>
  <c r="AT29" i="1" s="1"/>
  <c r="AU39" i="1"/>
  <c r="AS39" i="1" s="1"/>
  <c r="AS39" i="9" s="1"/>
  <c r="AU40" i="1"/>
  <c r="AS40" i="1" s="1"/>
  <c r="AU41" i="1"/>
  <c r="AS41" i="1" s="1"/>
  <c r="AE15" i="1"/>
  <c r="AH15" i="1"/>
  <c r="AK15" i="1"/>
  <c r="AU24" i="1"/>
  <c r="V103" i="1"/>
  <c r="Y103" i="1"/>
  <c r="AB103" i="1"/>
  <c r="V87" i="1"/>
  <c r="Y87" i="1"/>
  <c r="AB87" i="1"/>
  <c r="V44" i="1"/>
  <c r="Y44" i="1"/>
  <c r="AB44" i="1"/>
  <c r="S27" i="1"/>
  <c r="V27" i="1"/>
  <c r="Y27" i="1"/>
  <c r="AB27" i="1"/>
  <c r="AE27" i="1"/>
  <c r="AH27" i="1"/>
  <c r="AK27" i="1"/>
  <c r="M15" i="1"/>
  <c r="P15" i="1"/>
  <c r="S15" i="1"/>
  <c r="V15" i="1"/>
  <c r="Y15" i="1"/>
  <c r="AB15" i="1"/>
  <c r="J15" i="1"/>
  <c r="M27" i="1"/>
  <c r="P27" i="1"/>
  <c r="J27" i="1"/>
  <c r="M44" i="1"/>
  <c r="P44" i="1"/>
  <c r="S44" i="1"/>
  <c r="J44" i="1"/>
  <c r="M87" i="1"/>
  <c r="P87" i="1"/>
  <c r="S87" i="1"/>
  <c r="AE87" i="1"/>
  <c r="AH87" i="1"/>
  <c r="AK87" i="1"/>
  <c r="J87" i="1"/>
  <c r="M103" i="1"/>
  <c r="P103" i="1"/>
  <c r="S103" i="1"/>
  <c r="AE103" i="1"/>
  <c r="AH103" i="1"/>
  <c r="AK103" i="1"/>
  <c r="J103" i="1"/>
  <c r="AT66" i="9" l="1"/>
  <c r="AT65" i="9"/>
  <c r="AT68" i="9"/>
  <c r="AT67" i="9"/>
  <c r="AS53" i="9"/>
  <c r="AS60" i="9"/>
  <c r="AS54" i="9"/>
  <c r="AS61" i="9"/>
  <c r="AS48" i="9"/>
  <c r="AS50" i="9"/>
  <c r="AS49" i="9"/>
  <c r="AS51" i="9"/>
  <c r="AU9" i="1"/>
  <c r="AU10" i="1"/>
  <c r="AT92" i="9"/>
  <c r="AT95" i="9"/>
  <c r="AU6" i="1"/>
  <c r="AU8" i="1"/>
  <c r="AU7" i="1"/>
  <c r="AT105" i="1"/>
  <c r="AS105" i="1"/>
  <c r="AO97" i="9"/>
  <c r="AO87" i="9" s="1"/>
  <c r="AN15" i="9"/>
  <c r="AO24" i="9"/>
  <c r="AS24" i="1"/>
  <c r="AO73" i="9"/>
  <c r="AN44" i="9"/>
  <c r="AN27" i="9"/>
  <c r="AO29" i="9"/>
  <c r="AN87" i="9"/>
  <c r="AN103" i="9"/>
  <c r="Z15" i="1"/>
  <c r="Q15" i="1"/>
  <c r="AC15" i="1"/>
  <c r="W15" i="1"/>
  <c r="AI15" i="1"/>
  <c r="N15" i="1"/>
  <c r="AL15" i="1"/>
  <c r="T15" i="1"/>
  <c r="AF15" i="1"/>
  <c r="W89" i="1" a="1"/>
  <c r="W89" i="1" s="1"/>
  <c r="AL76" i="1" a="1"/>
  <c r="AL76" i="1" s="1"/>
  <c r="AF73" i="1" a="1"/>
  <c r="AF73" i="1" s="1"/>
  <c r="AI74" i="1" a="1"/>
  <c r="AI74" i="1" s="1"/>
  <c r="AL73" i="1" a="1"/>
  <c r="AL73" i="1" s="1"/>
  <c r="AC69" i="1" a="1"/>
  <c r="AC69" i="1" s="1"/>
  <c r="AI114" i="1" a="1"/>
  <c r="AI114" i="1" s="1"/>
  <c r="AI69" i="1" a="1"/>
  <c r="AI69" i="1" s="1"/>
  <c r="AF47" i="1" a="1"/>
  <c r="AF47" i="1" s="1"/>
  <c r="AC71" i="1" a="1"/>
  <c r="AC71" i="1" s="1"/>
  <c r="AL47" i="1" a="1"/>
  <c r="AL47" i="1" s="1"/>
  <c r="AI71" i="1" a="1"/>
  <c r="AI71" i="1" s="1"/>
  <c r="AF76" i="1" a="1"/>
  <c r="AF76" i="1" s="1"/>
  <c r="AC74" i="1" a="1"/>
  <c r="AC74" i="1" s="1"/>
  <c r="AF90" i="1" a="1"/>
  <c r="AF90" i="1" s="1"/>
  <c r="K105" i="1" a="1"/>
  <c r="K105" i="1" s="1"/>
  <c r="W105" i="1" a="1"/>
  <c r="W105" i="1" s="1"/>
  <c r="AC105" i="1" a="1"/>
  <c r="AC105" i="1" s="1"/>
  <c r="AC118" i="1" a="1"/>
  <c r="AC118" i="1" s="1"/>
  <c r="AF107" i="1" a="1"/>
  <c r="AF107" i="1" s="1"/>
  <c r="AI105" i="1" a="1"/>
  <c r="AI105" i="1" s="1"/>
  <c r="AI118" i="1" a="1"/>
  <c r="AI118" i="1" s="1"/>
  <c r="AL107" i="1" a="1"/>
  <c r="AL107" i="1" s="1"/>
  <c r="AC106" i="1" a="1"/>
  <c r="AC106" i="1" s="1"/>
  <c r="AC115" i="1" a="1"/>
  <c r="AC115" i="1" s="1"/>
  <c r="AF108" i="1" a="1"/>
  <c r="AF108" i="1" s="1"/>
  <c r="AF114" i="1" a="1"/>
  <c r="AF114" i="1" s="1"/>
  <c r="AF116" i="1" a="1"/>
  <c r="AF116" i="1" s="1"/>
  <c r="AI106" i="1" a="1"/>
  <c r="AI106" i="1" s="1"/>
  <c r="AI115" i="1" a="1"/>
  <c r="AI115" i="1" s="1"/>
  <c r="AL108" i="1" a="1"/>
  <c r="AL108" i="1" s="1"/>
  <c r="AL114" i="1" a="1"/>
  <c r="AL114" i="1" s="1"/>
  <c r="AL116" i="1" a="1"/>
  <c r="AL116" i="1" s="1"/>
  <c r="Q89" i="1" a="1"/>
  <c r="Q89" i="1" s="1"/>
  <c r="N105" i="1" a="1"/>
  <c r="N105" i="1" s="1"/>
  <c r="AC107" i="1" a="1"/>
  <c r="AC107" i="1" s="1"/>
  <c r="AF105" i="1" a="1"/>
  <c r="AF105" i="1" s="1"/>
  <c r="AF118" i="1" a="1"/>
  <c r="AF118" i="1" s="1"/>
  <c r="AI107" i="1" a="1"/>
  <c r="AI107" i="1" s="1"/>
  <c r="AL105" i="1" a="1"/>
  <c r="AL105" i="1" s="1"/>
  <c r="AL118" i="1" a="1"/>
  <c r="AL118" i="1" s="1"/>
  <c r="N89" i="1" a="1"/>
  <c r="N89" i="1" s="1"/>
  <c r="AC116" i="1" a="1"/>
  <c r="AC116" i="1" s="1"/>
  <c r="AI108" i="1" a="1"/>
  <c r="AI108" i="1" s="1"/>
  <c r="K89" i="1" a="1"/>
  <c r="K89" i="1" s="1"/>
  <c r="AC90" i="1" a="1"/>
  <c r="AC90" i="1" s="1"/>
  <c r="AC98" i="1" a="1"/>
  <c r="AC98" i="1" s="1"/>
  <c r="AF91" i="1" a="1"/>
  <c r="AF91" i="1" s="1"/>
  <c r="AF98" i="1" a="1"/>
  <c r="AF98" i="1" s="1"/>
  <c r="AI96" i="1" a="1"/>
  <c r="AI96" i="1" s="1"/>
  <c r="AL90" i="1" a="1"/>
  <c r="AL90" i="1" s="1"/>
  <c r="AL98" i="1" a="1"/>
  <c r="AL98" i="1" s="1"/>
  <c r="AF106" i="1" a="1"/>
  <c r="AF106" i="1" s="1"/>
  <c r="AF115" i="1" a="1"/>
  <c r="AF115" i="1" s="1"/>
  <c r="AI116" i="1" a="1"/>
  <c r="AI116" i="1" s="1"/>
  <c r="AC91" i="1" a="1"/>
  <c r="AC91" i="1" s="1"/>
  <c r="AF89" i="1" a="1"/>
  <c r="AF89" i="1" s="1"/>
  <c r="AI90" i="1" a="1"/>
  <c r="AI90" i="1" s="1"/>
  <c r="AI98" i="1" a="1"/>
  <c r="AI98" i="1" s="1"/>
  <c r="AL91" i="1" a="1"/>
  <c r="AL91" i="1" s="1"/>
  <c r="K46" i="1" a="1"/>
  <c r="K46" i="1" s="1"/>
  <c r="T46" i="1" a="1"/>
  <c r="T46" i="1" s="1"/>
  <c r="Z46" i="1" a="1"/>
  <c r="Z46" i="1" s="1"/>
  <c r="AC114" i="1" a="1"/>
  <c r="AC114" i="1" s="1"/>
  <c r="AL106" i="1" a="1"/>
  <c r="AL106" i="1" s="1"/>
  <c r="AL115" i="1" a="1"/>
  <c r="AL115" i="1" s="1"/>
  <c r="AC89" i="1" a="1"/>
  <c r="AC89" i="1" s="1"/>
  <c r="AC100" i="1" a="1"/>
  <c r="AC100" i="1" s="1"/>
  <c r="AI89" i="1" a="1"/>
  <c r="AI89" i="1" s="1"/>
  <c r="AI91" i="1" a="1"/>
  <c r="AI91" i="1" s="1"/>
  <c r="AL89" i="1" a="1"/>
  <c r="AL89" i="1" s="1"/>
  <c r="AL100" i="1" a="1"/>
  <c r="AL100" i="1" s="1"/>
  <c r="AL39" i="1" a="1"/>
  <c r="AL39" i="1" s="1"/>
  <c r="AI39" i="1" a="1"/>
  <c r="AI39" i="1" s="1"/>
  <c r="AF39" i="1" a="1"/>
  <c r="AF39" i="1" s="1"/>
  <c r="AC39" i="1" a="1"/>
  <c r="AC39" i="1" s="1"/>
  <c r="N46" i="1" a="1"/>
  <c r="N46" i="1" s="1"/>
  <c r="AL75" i="1" a="1"/>
  <c r="AL75" i="1" s="1"/>
  <c r="AL72" i="1" a="1"/>
  <c r="AL72" i="1" s="1"/>
  <c r="AL46" i="1" a="1"/>
  <c r="AL46" i="1" s="1"/>
  <c r="AI70" i="1" a="1"/>
  <c r="AI70" i="1" s="1"/>
  <c r="AI68" i="1" a="1"/>
  <c r="AI68" i="1" s="1"/>
  <c r="AF75" i="1" a="1"/>
  <c r="AF75" i="1" s="1"/>
  <c r="AF72" i="1" a="1"/>
  <c r="AF72" i="1" s="1"/>
  <c r="AF46" i="1" a="1"/>
  <c r="AF46" i="1" s="1"/>
  <c r="AC70" i="1" a="1"/>
  <c r="AC70" i="1" s="1"/>
  <c r="AC68" i="1" a="1"/>
  <c r="AC68" i="1" s="1"/>
  <c r="AL96" i="1" a="1"/>
  <c r="AL96" i="1" s="1"/>
  <c r="AF100" i="1" a="1"/>
  <c r="AF100" i="1" s="1"/>
  <c r="AC108" i="1" a="1"/>
  <c r="AC108" i="1" s="1"/>
  <c r="AL29" i="1" a="1"/>
  <c r="AL29" i="1" s="1"/>
  <c r="AI29" i="1" a="1"/>
  <c r="AI29" i="1" s="1"/>
  <c r="AF29" i="1" a="1"/>
  <c r="AF29" i="1" s="1"/>
  <c r="AC29" i="1" a="1"/>
  <c r="AC29" i="1" s="1"/>
  <c r="Z29" i="1" a="1"/>
  <c r="Z29" i="1" s="1"/>
  <c r="W29" i="1" a="1"/>
  <c r="W29" i="1" s="1"/>
  <c r="T29" i="1" a="1"/>
  <c r="T29" i="1" s="1"/>
  <c r="Q29" i="1" a="1"/>
  <c r="Q29" i="1" s="1"/>
  <c r="N29" i="1" a="1"/>
  <c r="N29" i="1" s="1"/>
  <c r="AL74" i="1" a="1"/>
  <c r="AL74" i="1" s="1"/>
  <c r="AL71" i="1" a="1"/>
  <c r="AL71" i="1" s="1"/>
  <c r="AL69" i="1" a="1"/>
  <c r="AL69" i="1" s="1"/>
  <c r="AI76" i="1" a="1"/>
  <c r="AI76" i="1" s="1"/>
  <c r="AI73" i="1" a="1"/>
  <c r="AI73" i="1" s="1"/>
  <c r="AI47" i="1" a="1"/>
  <c r="AI47" i="1" s="1"/>
  <c r="AF74" i="1" a="1"/>
  <c r="AF74" i="1" s="1"/>
  <c r="AF71" i="1" a="1"/>
  <c r="AF71" i="1" s="1"/>
  <c r="AF69" i="1" a="1"/>
  <c r="AF69" i="1" s="1"/>
  <c r="AC76" i="1" a="1"/>
  <c r="AC76" i="1" s="1"/>
  <c r="AC73" i="1" a="1"/>
  <c r="AC73" i="1" s="1"/>
  <c r="AC47" i="1" a="1"/>
  <c r="AC47" i="1" s="1"/>
  <c r="W46" i="1" a="1"/>
  <c r="W46" i="1" s="1"/>
  <c r="AI100" i="1" a="1"/>
  <c r="AI100" i="1" s="1"/>
  <c r="AC96" i="1" a="1"/>
  <c r="AC96" i="1" s="1"/>
  <c r="AL70" i="1" a="1"/>
  <c r="AL70" i="1" s="1"/>
  <c r="AL68" i="1" a="1"/>
  <c r="AL68" i="1" s="1"/>
  <c r="AI75" i="1" a="1"/>
  <c r="AI75" i="1" s="1"/>
  <c r="AI72" i="1" a="1"/>
  <c r="AI72" i="1" s="1"/>
  <c r="AI46" i="1" a="1"/>
  <c r="AI46" i="1" s="1"/>
  <c r="AF70" i="1" a="1"/>
  <c r="AF70" i="1" s="1"/>
  <c r="AF68" i="1" a="1"/>
  <c r="AF68" i="1" s="1"/>
  <c r="AC75" i="1" a="1"/>
  <c r="AC75" i="1" s="1"/>
  <c r="AC72" i="1" a="1"/>
  <c r="AC72" i="1" s="1"/>
  <c r="AC46" i="1" a="1"/>
  <c r="AC46" i="1" s="1"/>
  <c r="AF96" i="1" a="1"/>
  <c r="AF96" i="1" s="1"/>
  <c r="AN99" i="1"/>
  <c r="AO99" i="1" s="1"/>
  <c r="AT89" i="1"/>
  <c r="AT93" i="9" s="1"/>
  <c r="AT46" i="1"/>
  <c r="AN41" i="1"/>
  <c r="AO41" i="1" s="1"/>
  <c r="AN40" i="1"/>
  <c r="AO40" i="1" s="1"/>
  <c r="AS29" i="1"/>
  <c r="AS40" i="9" s="1"/>
  <c r="AN24" i="1"/>
  <c r="AT114" i="1"/>
  <c r="AU15" i="1"/>
  <c r="AT108" i="1"/>
  <c r="K15" i="1"/>
  <c r="AT24" i="1"/>
  <c r="AT75" i="1"/>
  <c r="AT116" i="1"/>
  <c r="AT117" i="9" s="1"/>
  <c r="AT73" i="1"/>
  <c r="AT47" i="1"/>
  <c r="AT72" i="1"/>
  <c r="AT76" i="1"/>
  <c r="AP76" i="1" s="1"/>
  <c r="AS115" i="1"/>
  <c r="AT106" i="1"/>
  <c r="AS107" i="1"/>
  <c r="AT100" i="1"/>
  <c r="AS99" i="1"/>
  <c r="AS91" i="1"/>
  <c r="AS98" i="1"/>
  <c r="AS90" i="1"/>
  <c r="AS96" i="1"/>
  <c r="AS71" i="1"/>
  <c r="AS69" i="1"/>
  <c r="AS68" i="1"/>
  <c r="AT74" i="1"/>
  <c r="AS70" i="1"/>
  <c r="AT41" i="1"/>
  <c r="AR41" i="1" s="1"/>
  <c r="AT39" i="1"/>
  <c r="AT39" i="9" s="1"/>
  <c r="AP39" i="9" s="1"/>
  <c r="AV39" i="9" s="1"/>
  <c r="AT40" i="1"/>
  <c r="AP40" i="1" s="1"/>
  <c r="AS66" i="9" l="1"/>
  <c r="AP66" i="9" s="1"/>
  <c r="AV66" i="9" s="1"/>
  <c r="AS65" i="9"/>
  <c r="AP65" i="9" s="1"/>
  <c r="AV65" i="9" s="1"/>
  <c r="AS93" i="9"/>
  <c r="AP93" i="9"/>
  <c r="AV93" i="9" s="1"/>
  <c r="AT111" i="9"/>
  <c r="AS68" i="9"/>
  <c r="AP68" i="9" s="1"/>
  <c r="AV68" i="9" s="1"/>
  <c r="AS67" i="9"/>
  <c r="AP67" i="9" s="1"/>
  <c r="AV67" i="9" s="1"/>
  <c r="AT53" i="9"/>
  <c r="AP53" i="9" s="1"/>
  <c r="AV53" i="9" s="1"/>
  <c r="AT60" i="9"/>
  <c r="AP60" i="9" s="1"/>
  <c r="AV60" i="9" s="1"/>
  <c r="AT54" i="9"/>
  <c r="AP54" i="9" s="1"/>
  <c r="AV54" i="9" s="1"/>
  <c r="AT61" i="9"/>
  <c r="AP61" i="9" s="1"/>
  <c r="AV61" i="9" s="1"/>
  <c r="AS109" i="9"/>
  <c r="AT110" i="9"/>
  <c r="AT48" i="9"/>
  <c r="AP48" i="9" s="1"/>
  <c r="AV48" i="9" s="1"/>
  <c r="AT50" i="9"/>
  <c r="AP50" i="9" s="1"/>
  <c r="AV50" i="9" s="1"/>
  <c r="AT49" i="9"/>
  <c r="AP49" i="9" s="1"/>
  <c r="AV49" i="9" s="1"/>
  <c r="AT51" i="9"/>
  <c r="AP51" i="9" s="1"/>
  <c r="AV51" i="9" s="1"/>
  <c r="T9" i="1"/>
  <c r="T10" i="1"/>
  <c r="AF9" i="1"/>
  <c r="AF10" i="1"/>
  <c r="AS10" i="1"/>
  <c r="AS9" i="1"/>
  <c r="W10" i="1"/>
  <c r="W9" i="1"/>
  <c r="AI10" i="1"/>
  <c r="AI9" i="1"/>
  <c r="N9" i="1"/>
  <c r="N10" i="1"/>
  <c r="Z9" i="1"/>
  <c r="Z10" i="1"/>
  <c r="AL9" i="1"/>
  <c r="AL10" i="1"/>
  <c r="K10" i="1"/>
  <c r="K9" i="1"/>
  <c r="K6" i="1"/>
  <c r="AT10" i="1"/>
  <c r="AT9" i="1"/>
  <c r="Q10" i="1"/>
  <c r="Q9" i="1"/>
  <c r="AC10" i="1"/>
  <c r="AC9" i="1"/>
  <c r="AS92" i="9"/>
  <c r="AP92" i="9" s="1"/>
  <c r="AV92" i="9" s="1"/>
  <c r="AT105" i="9"/>
  <c r="AS110" i="9"/>
  <c r="AS108" i="9"/>
  <c r="AS118" i="9"/>
  <c r="AT109" i="9"/>
  <c r="AS94" i="9"/>
  <c r="AT118" i="9"/>
  <c r="AS96" i="9"/>
  <c r="AT94" i="9"/>
  <c r="AS95" i="9"/>
  <c r="AP95" i="9" s="1"/>
  <c r="AV95" i="9" s="1"/>
  <c r="AT96" i="9"/>
  <c r="AS117" i="9"/>
  <c r="AP117" i="9" s="1"/>
  <c r="AV117" i="9" s="1"/>
  <c r="AT108" i="9"/>
  <c r="AP108" i="9" s="1"/>
  <c r="AV108" i="9" s="1"/>
  <c r="AR105" i="1"/>
  <c r="AS105" i="9"/>
  <c r="AP105" i="1"/>
  <c r="Q7" i="1"/>
  <c r="Q8" i="1"/>
  <c r="Q6" i="1"/>
  <c r="Z7" i="1"/>
  <c r="Z8" i="1"/>
  <c r="Z6" i="1"/>
  <c r="T8" i="1"/>
  <c r="T6" i="1"/>
  <c r="T7" i="1"/>
  <c r="K7" i="1"/>
  <c r="K8" i="1"/>
  <c r="AC7" i="1"/>
  <c r="AC8" i="1"/>
  <c r="AC6" i="1"/>
  <c r="AI7" i="1"/>
  <c r="AI8" i="1"/>
  <c r="AI6" i="1"/>
  <c r="N8" i="1"/>
  <c r="N6" i="1"/>
  <c r="N7" i="1"/>
  <c r="AL7" i="1"/>
  <c r="AL8" i="1"/>
  <c r="AL6" i="1"/>
  <c r="W8" i="1"/>
  <c r="W6" i="1"/>
  <c r="W7" i="1"/>
  <c r="AF8" i="1"/>
  <c r="AF6" i="1"/>
  <c r="AF7" i="1"/>
  <c r="AS6" i="1"/>
  <c r="AS8" i="1"/>
  <c r="AS7" i="1"/>
  <c r="AT7" i="1"/>
  <c r="AT6" i="1"/>
  <c r="AT8" i="1"/>
  <c r="AO15" i="9"/>
  <c r="AT23" i="9"/>
  <c r="AO24" i="1"/>
  <c r="AN105" i="1"/>
  <c r="AO105" i="1" s="1"/>
  <c r="AS113" i="9"/>
  <c r="AT46" i="9"/>
  <c r="AN118" i="1"/>
  <c r="AT112" i="9"/>
  <c r="AS41" i="9"/>
  <c r="AS111" i="9"/>
  <c r="AT113" i="9"/>
  <c r="AS112" i="9"/>
  <c r="AP99" i="1"/>
  <c r="AV99" i="1" s="1"/>
  <c r="AT89" i="9"/>
  <c r="AS89" i="9"/>
  <c r="AS47" i="9"/>
  <c r="AS46" i="9"/>
  <c r="AT29" i="9"/>
  <c r="AT41" i="9"/>
  <c r="AS101" i="9"/>
  <c r="AS24" i="9"/>
  <c r="AS23" i="9"/>
  <c r="AS57" i="9"/>
  <c r="AT101" i="9"/>
  <c r="AS15" i="1"/>
  <c r="AO103" i="9"/>
  <c r="AT70" i="9"/>
  <c r="AT71" i="9"/>
  <c r="AT24" i="9"/>
  <c r="AT97" i="9"/>
  <c r="AT106" i="9"/>
  <c r="AP41" i="1"/>
  <c r="AP24" i="1"/>
  <c r="AR24" i="1"/>
  <c r="AS90" i="9"/>
  <c r="AS73" i="9"/>
  <c r="AS74" i="9"/>
  <c r="AT69" i="9"/>
  <c r="AT72" i="9"/>
  <c r="AS98" i="9"/>
  <c r="AS116" i="9"/>
  <c r="AT100" i="9"/>
  <c r="AS76" i="9"/>
  <c r="AS115" i="9"/>
  <c r="AS107" i="9"/>
  <c r="AT75" i="9"/>
  <c r="AT91" i="9"/>
  <c r="AT99" i="9"/>
  <c r="AS114" i="9"/>
  <c r="AO44" i="9"/>
  <c r="AP68" i="1"/>
  <c r="AS69" i="9"/>
  <c r="AP69" i="1"/>
  <c r="AS70" i="9"/>
  <c r="AS71" i="9"/>
  <c r="AS91" i="9"/>
  <c r="AP96" i="1"/>
  <c r="AS99" i="9"/>
  <c r="AR99" i="1"/>
  <c r="AT98" i="9"/>
  <c r="AP115" i="1"/>
  <c r="AP116" i="1"/>
  <c r="AP75" i="1"/>
  <c r="AT116" i="9"/>
  <c r="AR40" i="1"/>
  <c r="AP70" i="1"/>
  <c r="AS72" i="9"/>
  <c r="AP98" i="1"/>
  <c r="AS100" i="9"/>
  <c r="AP107" i="1"/>
  <c r="AR72" i="1"/>
  <c r="AT73" i="9"/>
  <c r="AP73" i="1"/>
  <c r="AT74" i="9"/>
  <c r="AR46" i="1"/>
  <c r="AT47" i="9"/>
  <c r="AR39" i="1"/>
  <c r="AR39" i="9" s="1"/>
  <c r="AQ39" i="9" s="1"/>
  <c r="AT40" i="9"/>
  <c r="AR74" i="1"/>
  <c r="AT76" i="9"/>
  <c r="AS75" i="9"/>
  <c r="AP71" i="1"/>
  <c r="AP91" i="1"/>
  <c r="AS97" i="9"/>
  <c r="AP106" i="1"/>
  <c r="AT107" i="9"/>
  <c r="AP47" i="1"/>
  <c r="AT57" i="9"/>
  <c r="AP114" i="1"/>
  <c r="AT115" i="9"/>
  <c r="AP29" i="1"/>
  <c r="AS29" i="9"/>
  <c r="AP89" i="1"/>
  <c r="AT90" i="9"/>
  <c r="AP90" i="1"/>
  <c r="AR100" i="1"/>
  <c r="AR108" i="1"/>
  <c r="AT114" i="9"/>
  <c r="AS106" i="9"/>
  <c r="AO27" i="9"/>
  <c r="AR73" i="1"/>
  <c r="AR89" i="1"/>
  <c r="AR115" i="1"/>
  <c r="AR106" i="1"/>
  <c r="AR90" i="1"/>
  <c r="AR68" i="1"/>
  <c r="AR114" i="1"/>
  <c r="AP100" i="1"/>
  <c r="AP108" i="1"/>
  <c r="AP74" i="1"/>
  <c r="AP46" i="1"/>
  <c r="AP39" i="1"/>
  <c r="AR107" i="1"/>
  <c r="AR69" i="1"/>
  <c r="AQ69" i="1" s="1"/>
  <c r="AR47" i="1"/>
  <c r="AR70" i="1"/>
  <c r="AR75" i="1"/>
  <c r="AR71" i="1"/>
  <c r="AR96" i="1"/>
  <c r="AP72" i="1"/>
  <c r="AR29" i="1"/>
  <c r="AR91" i="1"/>
  <c r="AR98" i="1"/>
  <c r="AR76" i="1"/>
  <c r="AQ76" i="1" s="1"/>
  <c r="AR116" i="1"/>
  <c r="AN15" i="1"/>
  <c r="W44" i="1"/>
  <c r="AN107" i="1"/>
  <c r="AO107" i="1" s="1"/>
  <c r="AN47" i="1"/>
  <c r="AO47" i="1" s="1"/>
  <c r="N87" i="1"/>
  <c r="AF27" i="1"/>
  <c r="W27" i="1"/>
  <c r="AC27" i="1"/>
  <c r="AI27" i="1"/>
  <c r="AN69" i="1"/>
  <c r="AO69" i="1" s="1"/>
  <c r="AI87" i="1"/>
  <c r="Z87" i="1"/>
  <c r="T27" i="1"/>
  <c r="AN68" i="1"/>
  <c r="AO68" i="1" s="1"/>
  <c r="AN29" i="1"/>
  <c r="AO29" i="1" s="1"/>
  <c r="Z27" i="1"/>
  <c r="AL27" i="1"/>
  <c r="AN73" i="1"/>
  <c r="AO73" i="1" s="1"/>
  <c r="AN75" i="1"/>
  <c r="AO75" i="1" s="1"/>
  <c r="AN70" i="1"/>
  <c r="AO70" i="1" s="1"/>
  <c r="AN46" i="1"/>
  <c r="AO46" i="1" s="1"/>
  <c r="AN39" i="1"/>
  <c r="AO39" i="1" s="1"/>
  <c r="Z44" i="1"/>
  <c r="W87" i="1"/>
  <c r="Q87" i="1"/>
  <c r="AN106" i="1"/>
  <c r="AO106" i="1" s="1"/>
  <c r="AN72" i="1"/>
  <c r="AO72" i="1" s="1"/>
  <c r="AL87" i="1"/>
  <c r="AN114" i="1"/>
  <c r="AO114" i="1" s="1"/>
  <c r="AN71" i="1"/>
  <c r="AO71" i="1" s="1"/>
  <c r="AN76" i="1"/>
  <c r="AO76" i="1" s="1"/>
  <c r="AN74" i="1"/>
  <c r="AO74" i="1" s="1"/>
  <c r="AN98" i="1"/>
  <c r="AO98" i="1" s="1"/>
  <c r="AN96" i="1"/>
  <c r="K87" i="1"/>
  <c r="AI103" i="1"/>
  <c r="AN91" i="1"/>
  <c r="AO91" i="1" s="1"/>
  <c r="AN100" i="1"/>
  <c r="AO100" i="1" s="1"/>
  <c r="AN90" i="1"/>
  <c r="AO90" i="1" s="1"/>
  <c r="AC103" i="1"/>
  <c r="AN115" i="1"/>
  <c r="AO115" i="1" s="1"/>
  <c r="W103" i="1"/>
  <c r="AN116" i="1"/>
  <c r="AO116" i="1" s="1"/>
  <c r="AN108" i="1"/>
  <c r="AO108" i="1" s="1"/>
  <c r="AC44" i="1"/>
  <c r="AF87" i="1"/>
  <c r="Z103" i="1"/>
  <c r="AL103" i="1"/>
  <c r="T87" i="1"/>
  <c r="AC87" i="1"/>
  <c r="AN89" i="1"/>
  <c r="AO89" i="1" s="1"/>
  <c r="N103" i="1"/>
  <c r="AT15" i="1"/>
  <c r="AP118" i="9" l="1"/>
  <c r="AV118" i="9" s="1"/>
  <c r="AP111" i="9"/>
  <c r="AV111" i="9" s="1"/>
  <c r="AP109" i="9"/>
  <c r="AV109" i="9" s="1"/>
  <c r="AP105" i="9"/>
  <c r="AV105" i="9" s="1"/>
  <c r="AP110" i="9"/>
  <c r="AV110" i="9" s="1"/>
  <c r="AR66" i="9"/>
  <c r="AQ66" i="9" s="1"/>
  <c r="AR65" i="9"/>
  <c r="AQ65" i="9" s="1"/>
  <c r="AP89" i="9"/>
  <c r="AV89" i="9" s="1"/>
  <c r="AR68" i="9"/>
  <c r="AQ68" i="9" s="1"/>
  <c r="AR67" i="9"/>
  <c r="AQ67" i="9" s="1"/>
  <c r="AP96" i="9"/>
  <c r="AV96" i="9" s="1"/>
  <c r="AP94" i="9"/>
  <c r="AV94" i="9" s="1"/>
  <c r="AP46" i="9"/>
  <c r="AV46" i="9" s="1"/>
  <c r="AR53" i="9"/>
  <c r="AQ53" i="9" s="1"/>
  <c r="AR60" i="9"/>
  <c r="AQ60" i="9" s="1"/>
  <c r="AR54" i="9"/>
  <c r="AQ54" i="9" s="1"/>
  <c r="AR61" i="9"/>
  <c r="AQ61" i="9" s="1"/>
  <c r="AR49" i="9"/>
  <c r="AQ49" i="9" s="1"/>
  <c r="AR51" i="9"/>
  <c r="AQ51" i="9" s="1"/>
  <c r="AR48" i="9"/>
  <c r="AQ48" i="9" s="1"/>
  <c r="AR50" i="9"/>
  <c r="AQ50" i="9" s="1"/>
  <c r="AR10" i="1"/>
  <c r="AR9" i="1"/>
  <c r="AS10" i="9"/>
  <c r="AS9" i="9"/>
  <c r="AO9" i="1"/>
  <c r="AO10" i="1"/>
  <c r="AP9" i="1"/>
  <c r="AP10" i="1"/>
  <c r="AT10" i="9"/>
  <c r="AT9" i="9"/>
  <c r="AN9" i="1"/>
  <c r="AN10" i="1"/>
  <c r="AQ90" i="1"/>
  <c r="AR93" i="9"/>
  <c r="AQ93" i="9" s="1"/>
  <c r="AR92" i="9"/>
  <c r="AQ92" i="9" s="1"/>
  <c r="AR110" i="9"/>
  <c r="AQ110" i="9" s="1"/>
  <c r="AR109" i="9"/>
  <c r="AQ109" i="9" s="1"/>
  <c r="AR108" i="9"/>
  <c r="AQ108" i="9" s="1"/>
  <c r="AR117" i="9"/>
  <c r="AQ117" i="9" s="1"/>
  <c r="AR118" i="9"/>
  <c r="AQ118" i="9" s="1"/>
  <c r="AR94" i="9"/>
  <c r="AQ94" i="9" s="1"/>
  <c r="AP23" i="9"/>
  <c r="AR96" i="9"/>
  <c r="AQ96" i="9" s="1"/>
  <c r="AO118" i="1"/>
  <c r="AO7" i="1" s="1"/>
  <c r="AV118" i="1"/>
  <c r="AQ105" i="1"/>
  <c r="AR105" i="9"/>
  <c r="AQ105" i="9" s="1"/>
  <c r="AP41" i="9"/>
  <c r="AV41" i="9" s="1"/>
  <c r="AP112" i="9"/>
  <c r="AV112" i="9" s="1"/>
  <c r="AP113" i="9"/>
  <c r="AV113" i="9" s="1"/>
  <c r="AN6" i="1"/>
  <c r="AN8" i="1"/>
  <c r="AN7" i="1"/>
  <c r="AT6" i="9"/>
  <c r="AT8" i="9"/>
  <c r="AT7" i="9"/>
  <c r="AS8" i="9"/>
  <c r="AS6" i="9"/>
  <c r="AS7" i="9"/>
  <c r="AR6" i="1"/>
  <c r="AR8" i="1"/>
  <c r="AR7" i="1"/>
  <c r="AP6" i="1"/>
  <c r="AP7" i="1"/>
  <c r="AP8" i="1"/>
  <c r="AO8" i="1"/>
  <c r="AO15" i="1"/>
  <c r="AR41" i="9"/>
  <c r="AQ41" i="9" s="1"/>
  <c r="AR113" i="9"/>
  <c r="AQ113" i="9" s="1"/>
  <c r="AR112" i="9"/>
  <c r="AQ112" i="9" s="1"/>
  <c r="AP47" i="9"/>
  <c r="AV47" i="9" s="1"/>
  <c r="AQ106" i="1"/>
  <c r="AR111" i="9"/>
  <c r="AQ111" i="9" s="1"/>
  <c r="AQ96" i="1"/>
  <c r="AR95" i="9"/>
  <c r="AQ95" i="9" s="1"/>
  <c r="AQ115" i="1"/>
  <c r="AP101" i="9"/>
  <c r="AV101" i="9" s="1"/>
  <c r="AP57" i="9"/>
  <c r="AV57" i="9" s="1"/>
  <c r="AS15" i="9"/>
  <c r="AR101" i="9"/>
  <c r="AQ101" i="9" s="1"/>
  <c r="AR24" i="9"/>
  <c r="AQ24" i="9" s="1"/>
  <c r="AR23" i="9"/>
  <c r="AP70" i="9"/>
  <c r="AV70" i="9" s="1"/>
  <c r="AR57" i="9"/>
  <c r="AQ57" i="9" s="1"/>
  <c r="AP71" i="9"/>
  <c r="AV71" i="9" s="1"/>
  <c r="AT15" i="9"/>
  <c r="AP116" i="9"/>
  <c r="AV116" i="9" s="1"/>
  <c r="AP97" i="9"/>
  <c r="AV97" i="9" s="1"/>
  <c r="AP106" i="9"/>
  <c r="AV106" i="9" s="1"/>
  <c r="AP24" i="9"/>
  <c r="AO96" i="1"/>
  <c r="AP99" i="9"/>
  <c r="AV99" i="9" s="1"/>
  <c r="AP74" i="9"/>
  <c r="AV74" i="9" s="1"/>
  <c r="AP72" i="9"/>
  <c r="AV72" i="9" s="1"/>
  <c r="AP15" i="1"/>
  <c r="AV24" i="1"/>
  <c r="AP115" i="9"/>
  <c r="AV115" i="9" s="1"/>
  <c r="AP90" i="9"/>
  <c r="AV90" i="9" s="1"/>
  <c r="AP73" i="9"/>
  <c r="AV73" i="9" s="1"/>
  <c r="AP100" i="9"/>
  <c r="AV100" i="9" s="1"/>
  <c r="AR89" i="9"/>
  <c r="AQ89" i="9" s="1"/>
  <c r="AP107" i="9"/>
  <c r="AV107" i="9" s="1"/>
  <c r="AP98" i="9"/>
  <c r="AV98" i="9" s="1"/>
  <c r="AR99" i="9"/>
  <c r="AQ99" i="9" s="1"/>
  <c r="AP114" i="9"/>
  <c r="AV114" i="9" s="1"/>
  <c r="AP76" i="9"/>
  <c r="AV76" i="9" s="1"/>
  <c r="AP69" i="9"/>
  <c r="AV69" i="9" s="1"/>
  <c r="AP75" i="9"/>
  <c r="AV75" i="9" s="1"/>
  <c r="AV73" i="1"/>
  <c r="AP91" i="9"/>
  <c r="AV91" i="9" s="1"/>
  <c r="AQ47" i="1"/>
  <c r="AV108" i="1"/>
  <c r="AR40" i="9"/>
  <c r="AQ40" i="9" s="1"/>
  <c r="AR73" i="9"/>
  <c r="AQ73" i="9" s="1"/>
  <c r="AT103" i="9"/>
  <c r="AS87" i="9"/>
  <c r="AT44" i="9"/>
  <c r="AQ72" i="1"/>
  <c r="AQ99" i="1"/>
  <c r="AR70" i="9"/>
  <c r="AQ70" i="9" s="1"/>
  <c r="AR107" i="9"/>
  <c r="AQ107" i="9" s="1"/>
  <c r="AR114" i="9"/>
  <c r="AQ114" i="9" s="1"/>
  <c r="AR76" i="9"/>
  <c r="AQ76" i="9" s="1"/>
  <c r="AR47" i="9"/>
  <c r="AQ47" i="9" s="1"/>
  <c r="AR46" i="9"/>
  <c r="AS44" i="9"/>
  <c r="AS103" i="9"/>
  <c r="AV105" i="1"/>
  <c r="AR106" i="9"/>
  <c r="AQ106" i="9" s="1"/>
  <c r="AT87" i="9"/>
  <c r="AQ71" i="1"/>
  <c r="AQ108" i="1"/>
  <c r="AQ46" i="1"/>
  <c r="AQ100" i="1"/>
  <c r="AQ98" i="1"/>
  <c r="AR100" i="9"/>
  <c r="AQ100" i="9" s="1"/>
  <c r="AR91" i="9"/>
  <c r="AQ91" i="9" s="1"/>
  <c r="AQ68" i="1"/>
  <c r="AR69" i="9"/>
  <c r="AQ69" i="9" s="1"/>
  <c r="AQ73" i="1"/>
  <c r="AR74" i="9"/>
  <c r="AQ74" i="9" s="1"/>
  <c r="AQ75" i="1"/>
  <c r="AR98" i="9"/>
  <c r="AQ98" i="9" s="1"/>
  <c r="AR71" i="9"/>
  <c r="AQ71" i="9" s="1"/>
  <c r="AQ91" i="1"/>
  <c r="AR97" i="9"/>
  <c r="AQ97" i="9" s="1"/>
  <c r="AR75" i="9"/>
  <c r="AQ75" i="9" s="1"/>
  <c r="AQ70" i="1"/>
  <c r="AQ107" i="1"/>
  <c r="AR72" i="9"/>
  <c r="AQ72" i="9" s="1"/>
  <c r="AQ74" i="1"/>
  <c r="AQ116" i="1"/>
  <c r="AQ29" i="1"/>
  <c r="AR29" i="9"/>
  <c r="AR116" i="9"/>
  <c r="AQ116" i="9" s="1"/>
  <c r="AQ114" i="1"/>
  <c r="AR115" i="9"/>
  <c r="AQ115" i="9" s="1"/>
  <c r="AQ89" i="1"/>
  <c r="AR90" i="9"/>
  <c r="AQ90" i="9" s="1"/>
  <c r="AP29" i="9"/>
  <c r="AS27" i="9"/>
  <c r="AT27" i="9"/>
  <c r="AP40" i="9"/>
  <c r="AV40" i="9" s="1"/>
  <c r="AV46" i="1"/>
  <c r="AV72" i="1"/>
  <c r="AV71" i="1"/>
  <c r="AV29" i="1"/>
  <c r="AV96" i="1"/>
  <c r="AV47" i="1"/>
  <c r="AV89" i="1"/>
  <c r="AV107" i="1"/>
  <c r="AV76" i="1"/>
  <c r="AV114" i="1"/>
  <c r="AV70" i="1"/>
  <c r="AV69" i="1"/>
  <c r="AV116" i="1"/>
  <c r="AV90" i="1"/>
  <c r="AV75" i="1"/>
  <c r="AV98" i="1"/>
  <c r="AV68" i="1"/>
  <c r="AV91" i="1"/>
  <c r="AV115" i="1"/>
  <c r="AV100" i="1"/>
  <c r="AV74" i="1"/>
  <c r="AV106" i="1"/>
  <c r="AQ24" i="1"/>
  <c r="AR15" i="1"/>
  <c r="Q103" i="1"/>
  <c r="K103" i="1"/>
  <c r="K44" i="1"/>
  <c r="T44" i="1"/>
  <c r="K27" i="1"/>
  <c r="Q27" i="1"/>
  <c r="N27" i="1"/>
  <c r="AV10" i="1" l="1"/>
  <c r="AV9" i="1"/>
  <c r="AQ23" i="9"/>
  <c r="AV23" i="9"/>
  <c r="AV7" i="1"/>
  <c r="AO6" i="1"/>
  <c r="AR15" i="9"/>
  <c r="AV24" i="9"/>
  <c r="AP15" i="9"/>
  <c r="AP44" i="9"/>
  <c r="AP103" i="9"/>
  <c r="AP87" i="9"/>
  <c r="AQ87" i="9"/>
  <c r="AQ103" i="9"/>
  <c r="AR103" i="9"/>
  <c r="AQ46" i="9"/>
  <c r="AQ44" i="9" s="1"/>
  <c r="AR44" i="9"/>
  <c r="AR87" i="9"/>
  <c r="AP27" i="9"/>
  <c r="AV29" i="9"/>
  <c r="AR27" i="9"/>
  <c r="AQ29" i="9"/>
  <c r="AQ27" i="9" s="1"/>
  <c r="AQ15" i="9"/>
  <c r="AQ15" i="1"/>
  <c r="AU27" i="1"/>
  <c r="AS103" i="1"/>
  <c r="AS87" i="1"/>
  <c r="Q44" i="1"/>
  <c r="N44" i="1"/>
  <c r="AU103" i="1"/>
  <c r="AT87" i="1"/>
  <c r="AU87" i="1"/>
  <c r="AF103" i="1"/>
  <c r="AS27" i="1"/>
  <c r="T103" i="1"/>
  <c r="AN87" i="1"/>
  <c r="AT103" i="1"/>
  <c r="AT27" i="1"/>
  <c r="AV41" i="1"/>
  <c r="AQ41" i="1"/>
  <c r="AQ39" i="1"/>
  <c r="AQ40" i="1"/>
  <c r="AV39" i="1"/>
  <c r="AV40" i="1"/>
  <c r="AQ9" i="1" l="1"/>
  <c r="AQ10" i="1"/>
  <c r="AO87" i="1"/>
  <c r="AN27" i="1"/>
  <c r="AR87" i="1"/>
  <c r="AN103" i="1"/>
  <c r="AP103" i="1"/>
  <c r="AQ7" i="1"/>
  <c r="AR103" i="1"/>
  <c r="AQ8" i="1" l="1"/>
  <c r="AQ6" i="1"/>
  <c r="AO27" i="1"/>
  <c r="AQ87" i="1"/>
  <c r="AP27" i="1"/>
  <c r="AO103" i="1"/>
  <c r="AP87" i="1"/>
  <c r="AQ27" i="1"/>
  <c r="AR27" i="1"/>
  <c r="AQ103" i="1"/>
  <c r="AF44" i="1"/>
  <c r="AO44" i="1" l="1"/>
  <c r="AH44" i="1" l="1"/>
  <c r="AL44" i="1"/>
  <c r="AK44" i="1"/>
  <c r="AI44" i="1"/>
  <c r="AN44" i="1"/>
  <c r="AE44" i="1"/>
  <c r="AS44" i="1"/>
  <c r="AT44" i="1" l="1"/>
  <c r="AU44" i="1"/>
  <c r="AR44" i="1" l="1"/>
  <c r="AQ44" i="1"/>
  <c r="AP44" i="1"/>
  <c r="AV6" i="1" l="1"/>
  <c r="AV8" i="1"/>
  <c r="AC79" i="9" l="1"/>
  <c r="Z83" i="9" a="1"/>
  <c r="Z83" i="9" s="1"/>
  <c r="Z85" i="9" a="1"/>
  <c r="Z85" i="9" s="1"/>
  <c r="W83" i="9" a="1"/>
  <c r="W83" i="9" s="1"/>
  <c r="AU83" i="9"/>
  <c r="Z84" i="9" a="1"/>
  <c r="Z84" i="9" s="1"/>
  <c r="Y79" i="9"/>
  <c r="V79" i="9"/>
  <c r="AU84" i="9"/>
  <c r="AU85" i="9"/>
  <c r="W84" i="9" a="1"/>
  <c r="W84" i="9" s="1"/>
  <c r="W85" i="9" a="1"/>
  <c r="W85" i="9" s="1"/>
  <c r="Z82" i="9" a="1"/>
  <c r="Z82" i="9" s="1"/>
  <c r="W82" i="9" a="1"/>
  <c r="W82" i="9" s="1"/>
  <c r="AU82" i="9"/>
  <c r="AU10" i="9" l="1"/>
  <c r="AU9" i="9"/>
  <c r="W9" i="9"/>
  <c r="W10" i="9"/>
  <c r="Z10" i="9"/>
  <c r="Z9" i="9"/>
  <c r="W7" i="9"/>
  <c r="W8" i="9"/>
  <c r="W6" i="9"/>
  <c r="Z7" i="9"/>
  <c r="Z6" i="9"/>
  <c r="Z8" i="9"/>
  <c r="AU8" i="9"/>
  <c r="AU7" i="9"/>
  <c r="AU6" i="9"/>
  <c r="AN84" i="9"/>
  <c r="AO84" i="9" s="1"/>
  <c r="AN83" i="9"/>
  <c r="AO83" i="9" s="1"/>
  <c r="AN85" i="9"/>
  <c r="AO85" i="9" s="1"/>
  <c r="W79" i="9"/>
  <c r="AN82" i="9"/>
  <c r="Z79" i="9"/>
  <c r="AR84" i="9"/>
  <c r="AQ84" i="9" s="1"/>
  <c r="AP84" i="9"/>
  <c r="AR85" i="9"/>
  <c r="AQ85" i="9" s="1"/>
  <c r="AP85" i="9"/>
  <c r="AR82" i="9"/>
  <c r="AP82" i="9"/>
  <c r="AU79" i="9"/>
  <c r="AR83" i="9"/>
  <c r="AQ83" i="9" s="1"/>
  <c r="AP83" i="9"/>
  <c r="AR9" i="9" l="1"/>
  <c r="AR10" i="9"/>
  <c r="AN10" i="9"/>
  <c r="AN9" i="9"/>
  <c r="AP10" i="9"/>
  <c r="AP9" i="9"/>
  <c r="AP6" i="9"/>
  <c r="AP8" i="9"/>
  <c r="AP7" i="9"/>
  <c r="AR6" i="9"/>
  <c r="AR7" i="9"/>
  <c r="AR8" i="9"/>
  <c r="AN7" i="9"/>
  <c r="AN8" i="9"/>
  <c r="AN6" i="9"/>
  <c r="AV84" i="9"/>
  <c r="AV83" i="9"/>
  <c r="AV85" i="9"/>
  <c r="AO82" i="9"/>
  <c r="AN79" i="9"/>
  <c r="AR79" i="9"/>
  <c r="AQ82" i="9"/>
  <c r="AP79" i="9"/>
  <c r="AV82" i="9"/>
  <c r="AQ10" i="9" l="1"/>
  <c r="AQ9" i="9"/>
  <c r="AO9" i="9"/>
  <c r="AO10" i="9"/>
  <c r="AV9" i="9"/>
  <c r="AV10" i="9"/>
  <c r="AV7" i="9"/>
  <c r="AQ7" i="9"/>
  <c r="AQ6" i="9"/>
  <c r="AQ8" i="9"/>
  <c r="AO8" i="9"/>
  <c r="AO6" i="9"/>
  <c r="AO7" i="9"/>
  <c r="AV8" i="9"/>
  <c r="AV6" i="9"/>
  <c r="AO79" i="9"/>
  <c r="AQ79" i="9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<sst xmlns="http://schemas.openxmlformats.org/spreadsheetml/2006/main" count="2039" uniqueCount="613">
  <si>
    <t>ROK 1</t>
  </si>
  <si>
    <t>ROK 2</t>
  </si>
  <si>
    <t>ROK 3</t>
  </si>
  <si>
    <t>ROK 4</t>
  </si>
  <si>
    <t>SEMESTR 1</t>
  </si>
  <si>
    <t>SEMESTR 2</t>
  </si>
  <si>
    <t>SEMESTR 3</t>
  </si>
  <si>
    <t>SEMESTR 4</t>
  </si>
  <si>
    <t>SEMESTR 5</t>
  </si>
  <si>
    <t>SEMESTR 6</t>
  </si>
  <si>
    <t>SEMESTR 7</t>
  </si>
  <si>
    <t>ROZLICZENIE CZASU PRACY</t>
  </si>
  <si>
    <t>kod ISCED</t>
  </si>
  <si>
    <t>numer modułu</t>
  </si>
  <si>
    <t>cecha zajęć</t>
  </si>
  <si>
    <t>Prowadzący zajęcia</t>
  </si>
  <si>
    <t>głowna forma zajęć</t>
  </si>
  <si>
    <t>Czy posiada ECTS</t>
  </si>
  <si>
    <t>zajęcia</t>
  </si>
  <si>
    <t>ECTS</t>
  </si>
  <si>
    <t xml:space="preserve">forma zaliczenia </t>
  </si>
  <si>
    <t>ECTS razem</t>
  </si>
  <si>
    <t>ECTS przypisane zajęciom kształtującym umiejętności praktyczne</t>
  </si>
  <si>
    <t>ECTS z bezpośrednim udziałem nauczycieli akademickich lub innych osób prowadzących zajęcia i studentów</t>
  </si>
  <si>
    <t xml:space="preserve">godziny pracy studenta razem </t>
  </si>
  <si>
    <t xml:space="preserve">liczba godzin samokształcenia </t>
  </si>
  <si>
    <t>liczba godzin konsultacji</t>
  </si>
  <si>
    <t>liczba godzin weryfikacji/ewaluacji</t>
  </si>
  <si>
    <t>liczba godzin zajęć na planie studiów</t>
  </si>
  <si>
    <t xml:space="preserve">Stosunek procentowy liczby ECTS zajęć w bezpośrednim kontakcie do pracy własnej studenta </t>
  </si>
  <si>
    <t>RAZEM ZA CAŁOŚĆ</t>
  </si>
  <si>
    <t>ćwiczenia</t>
  </si>
  <si>
    <t>TAK</t>
  </si>
  <si>
    <t>z</t>
  </si>
  <si>
    <t>instruktaż</t>
  </si>
  <si>
    <t>b</t>
  </si>
  <si>
    <t>Szkolenie biblioteczne</t>
  </si>
  <si>
    <t>konwersatorium</t>
  </si>
  <si>
    <t>wykład</t>
  </si>
  <si>
    <t>laboratoria</t>
  </si>
  <si>
    <t>PRZEDMIOTY PODSTAWOWE</t>
  </si>
  <si>
    <t>e</t>
  </si>
  <si>
    <t>PRZEDMIOTY KIERUNKOWE</t>
  </si>
  <si>
    <t>praktyka</t>
  </si>
  <si>
    <t>projekt</t>
  </si>
  <si>
    <t xml:space="preserve"> </t>
  </si>
  <si>
    <t>oznaczenia form weryfikacji koncowej</t>
  </si>
  <si>
    <t>rodzaje zajęć:</t>
  </si>
  <si>
    <t>n</t>
  </si>
  <si>
    <t xml:space="preserve">warsztaty </t>
  </si>
  <si>
    <t>obóz szkoleniowy</t>
  </si>
  <si>
    <t>zajęcia plenerowe</t>
  </si>
  <si>
    <t>Klasyfikacja ISCED</t>
  </si>
  <si>
    <t>https://polon.nauka.gov.pl/dokuwiki/lib/exe/fetch.php/kierunkistudiow/uprawnieniastudia/tlumaczenie_isced-f_2014-10-10.pdf</t>
  </si>
  <si>
    <t>Grupy</t>
  </si>
  <si>
    <t>Podgrupy</t>
  </si>
  <si>
    <t>Nazwy</t>
  </si>
  <si>
    <t>00 Grupa - Programy ogólne</t>
  </si>
  <si>
    <t>000 Podgrupa programów i kwalifikacji ogólnych nieokreślonych dalej</t>
  </si>
  <si>
    <t>0000 Programy i kwalifikacje ogólne nieokreślone dalej</t>
  </si>
  <si>
    <t>001 Podgrupa programów i kwalifikacji podstawowych</t>
  </si>
  <si>
    <t xml:space="preserve">0011 Podstawowe programy i kwalifikacje </t>
  </si>
  <si>
    <t>002 Podgrupa umiejętności czytania, pisania i liczenia</t>
  </si>
  <si>
    <t>0021 Umiejętność czytania, pisania i liczenia</t>
  </si>
  <si>
    <t xml:space="preserve">003 Podgrupa rozwoju umiejętności osobowościowych </t>
  </si>
  <si>
    <t>0031 Rozwój umiejętności osobowościowych</t>
  </si>
  <si>
    <t>009 Podgrupa programów i kwalifikacji ogólnych gdzie indziej niesklasyfikowanych</t>
  </si>
  <si>
    <t>0099 Programy i kwalifikacje ogólne, gdzie indziej niesklasyfikowane</t>
  </si>
  <si>
    <t>01 Grupa - Kształcenie</t>
  </si>
  <si>
    <t>011 Podgrupa pedagogiczna</t>
  </si>
  <si>
    <t>0110 Kształcenie nieokreślone dalej</t>
  </si>
  <si>
    <t>0111 Kształcenie</t>
  </si>
  <si>
    <t>0112 Kształcenie nauczycieli nauczania przedszkolnego</t>
  </si>
  <si>
    <t>0113 Kształcenie nauczycieli bez specjalizacji tematycznej</t>
  </si>
  <si>
    <t xml:space="preserve">0114 Kształcenie nauczycieli ze specjalizacją tematyczną </t>
  </si>
  <si>
    <t>0119 Kształcenie gdzie indziej niesklasyfikowane</t>
  </si>
  <si>
    <t>018 Podgrupa interdyscyplinarnych programów i kwalifikacji związanych z edukacją</t>
  </si>
  <si>
    <t>0188 Interdyscyplinarne programy i kwalifikacje związane z edukacją</t>
  </si>
  <si>
    <t>02 Grupa - Nauki humanistyczne i sztuka</t>
  </si>
  <si>
    <t>020 Podgrupa programów i kwalifikacji związanych ze sztuką i przedmiotami humanistycznymi nieokreślonymi dalej</t>
  </si>
  <si>
    <t>0200 Programy i kwalifikacje związane ze sztuką i przedmiotami humanistycznymi nieokreślone dalej</t>
  </si>
  <si>
    <t>021 Podgrupa artystyczna</t>
  </si>
  <si>
    <t xml:space="preserve">0210 Programy i kwalifikacje związane ze sztuką nieokreślone dalej </t>
  </si>
  <si>
    <t>0211 Techniki audiowizualne i produkcja mediów</t>
  </si>
  <si>
    <t>0212 Moda, wystrój wnętrz i projektowanie przemysłowe</t>
  </si>
  <si>
    <t>0213 Sztuki plastyczne</t>
  </si>
  <si>
    <t>0214 Rękodzieło</t>
  </si>
  <si>
    <t>0215 Muzyka i sztuki sceniczne</t>
  </si>
  <si>
    <t xml:space="preserve">0219 Programy i kwalifikacje związane ze sztuką gdzie indziej niesklasyfikowane </t>
  </si>
  <si>
    <t>022 Podgrupa humanistyczna (z wyłączeniem języków)</t>
  </si>
  <si>
    <t>0220 Przedmioty humanistyczne</t>
  </si>
  <si>
    <t xml:space="preserve">(z wyłączeniem języków) nie określone dalej </t>
  </si>
  <si>
    <t>0221 Religia i teologia</t>
  </si>
  <si>
    <t xml:space="preserve">0222 Historia i archeologia </t>
  </si>
  <si>
    <t>0223 Filozofia i etyka</t>
  </si>
  <si>
    <t>0229 Przedmioty humanistyczne (z wyłączeniem języków) gdzie indziej niesklasyfikowane</t>
  </si>
  <si>
    <t>023 Podgrupa językowa</t>
  </si>
  <si>
    <t xml:space="preserve">0230 Języki nie określone dalej </t>
  </si>
  <si>
    <t>0231 Nauka języków</t>
  </si>
  <si>
    <t>0232 Literatura i językoznawstwo (lingwistyka)</t>
  </si>
  <si>
    <t>0239 Programy i kwalifikacje związane z językami gdzie indziej niesklasyfikowane</t>
  </si>
  <si>
    <t>028 Podgrupa interdyscyplinarnych programów i kwalifikacji związanych ze sztuką i przedmiotami humanistycznymi</t>
  </si>
  <si>
    <t>0288 Interdyscyplinarne programy i kwalifikacje obejmujące sztuki i przedmioty humanistyczne</t>
  </si>
  <si>
    <t>029 Podgrupa  programów i kwalifikacji związanych ze sztuką i przedmiotami humanistycznymi gdzie indziej niesklasyfikowanymi</t>
  </si>
  <si>
    <t>0299 Programy i kwalifikacje związane ze sztuką i przedmiotami humanistycznymi  gdzie indziej niesklasyfikowane</t>
  </si>
  <si>
    <t>03 Grupa - Nauki społeczne, dziennikarstwo i informacja</t>
  </si>
  <si>
    <t>030 Podgrupa nauk społecznych, dziennikarstwa i informacji nieokreślonych dalej</t>
  </si>
  <si>
    <t>0300 Nauki społeczne, dziennikarstwo i informacja nieokreślone dalej</t>
  </si>
  <si>
    <t xml:space="preserve">031 Podgrupa społeczna </t>
  </si>
  <si>
    <t>0310 Nauki społeczne nieokreślone dalej</t>
  </si>
  <si>
    <t>0311 Ekonomia</t>
  </si>
  <si>
    <t xml:space="preserve">0312 Politologia i wiedza o społeczeństwie </t>
  </si>
  <si>
    <t>0313 Psychologia</t>
  </si>
  <si>
    <t>0314 Socjologia i kulturoznawstwo</t>
  </si>
  <si>
    <t>0319 Programy i kwalifikacje związane z naukami społecznymi, gdzie indziej niesklasyfikowane</t>
  </si>
  <si>
    <t>032 Podgrupa dziennikarstwa i informacji</t>
  </si>
  <si>
    <t xml:space="preserve">0320 Dziennikarstwo i informacja naukowa nieokreślone dalej </t>
  </si>
  <si>
    <t>0321 Dziennikarstwo</t>
  </si>
  <si>
    <t>0322 Bibliotekoznawstwo, informacja naukowa i archiwistyka</t>
  </si>
  <si>
    <t>0329 Dziennikarstwo i informacja naukowa gdzie indziej niesklasyfikowane</t>
  </si>
  <si>
    <t>038 Podgrupa interdyscyplinarnych programów i kwalifikacji związanych z naukami społecznymi, dziennikarstwem i informacją</t>
  </si>
  <si>
    <t xml:space="preserve">0388 Interdyscyplinarne programy i kwalifikacje związane z naukami społecznymi, dziennikarstwem i informacją </t>
  </si>
  <si>
    <t>039 Podgrupa nauk społecznych, dziennikarstwa i informacji gdzie indziej niesklasyfikowanych</t>
  </si>
  <si>
    <t>0399 Nauki społeczne, dziennikarstwo i informacja gdzie indziej niesklasyfikowane</t>
  </si>
  <si>
    <t>04 Grupa - Biznes, administracja i prawo</t>
  </si>
  <si>
    <t>040 Podgrupa biznesu, administracji i prawa nieokreślonych dalej</t>
  </si>
  <si>
    <t>0400 Biznes, administracja i prawo nieokreślone dalej</t>
  </si>
  <si>
    <t>041 Podgrupa biznesu i administracji</t>
  </si>
  <si>
    <t xml:space="preserve">0410 Biznes i administracja nie określone dalej </t>
  </si>
  <si>
    <t>0411 Rachunkowość i podatki</t>
  </si>
  <si>
    <t>0412 Finanse, bankowość i ubezpieczenia</t>
  </si>
  <si>
    <t>0413 Zarządzanie i administracja</t>
  </si>
  <si>
    <t>0414 Marketing i reklama</t>
  </si>
  <si>
    <t>0415 Prace sekretarskie i biurowe</t>
  </si>
  <si>
    <t>0416 Sprzedaż hurtowa i detaliczna</t>
  </si>
  <si>
    <t>0417 Umiejętności związane z miejscem pracy</t>
  </si>
  <si>
    <t>0419 Programy i kwalifikacje związane z prowadzeniem działalności gospodarczej i administracją gdzie indziej niesklasyfikowane</t>
  </si>
  <si>
    <t>042 Podgrupa prawna</t>
  </si>
  <si>
    <t>0421 Prawo</t>
  </si>
  <si>
    <t>048 Podgrupa interdyscyplinarnych programów i kwalifikacji związanych z prowadzeniem działalności gospodarczej, administracją i prawem</t>
  </si>
  <si>
    <t>0488 Interdyscyplinarne programy i kwalifikacje związane z prowadzeniem działalności gospodarczej, administracją i prawem</t>
  </si>
  <si>
    <t>049 Podgrupa programów i kwalifikacji związanych z prowadzeniem działalności gospodarczej, administracją i prawem gdzie indziej niesklasyfikowanych</t>
  </si>
  <si>
    <t>0499 Programy i kwalifikacje obejmujące prowadzenie działalności gospodarczej, administrację i prawo gdzie indziej niesklasyfikowane</t>
  </si>
  <si>
    <t>05 Grupa - Nauki przyrodnicze, matematyka i statystyka</t>
  </si>
  <si>
    <t>050 Podgrupa nauk przyrodniczych, matematyki i statystyki nieokreślonych dalej</t>
  </si>
  <si>
    <t>0500 Nauki przyrodnicze, matematyka i statystyka nieokreślone dalej</t>
  </si>
  <si>
    <t xml:space="preserve">051 Podgrupa biologiczna </t>
  </si>
  <si>
    <t>0510 Nauki biologiczne i powiązane nieokreślone dalej</t>
  </si>
  <si>
    <t>0511 Biologia</t>
  </si>
  <si>
    <t>0512 Biochemia</t>
  </si>
  <si>
    <t>0519 Programy i kwalifikacje związane z biologią i naukami pokrewnymi gdzie indziej niesklasyfikowane</t>
  </si>
  <si>
    <t>052 Podgrupa nauk o środowisku</t>
  </si>
  <si>
    <t>0520 Nauki o środowisku nieokreślone dalej</t>
  </si>
  <si>
    <t>0521 Ekologia i ochrona środowiska</t>
  </si>
  <si>
    <t>0522 Środowisko naturalne i przyroda</t>
  </si>
  <si>
    <t>0529 Programy i kwalifikacje związane ze środowiskiem gdzie indziej niesklasyfikowane</t>
  </si>
  <si>
    <t>053 Podgrupa fizyczna</t>
  </si>
  <si>
    <t>0530 Nauki fizyczne nieokreślone dalej</t>
  </si>
  <si>
    <t>0531 Chemia</t>
  </si>
  <si>
    <t>0532 Nauki o Ziemi</t>
  </si>
  <si>
    <t>0533 Fizyka</t>
  </si>
  <si>
    <t>0539 Programy i kwalifikacje związane z naukami fizycznymi gdzie indziej niesklasyfikowane</t>
  </si>
  <si>
    <t>054 Podgrupa matematyczna i statystyczna</t>
  </si>
  <si>
    <t>0540 Matematyka i statystyka nieokreślone dalej</t>
  </si>
  <si>
    <t>0541 Matematyka</t>
  </si>
  <si>
    <t>0542 Statystyka</t>
  </si>
  <si>
    <t>058 Podgrupa interdyscyplinarnych programów i kwalifikacji obejmujących nauki przyrodnicze, matematykę i statystykę</t>
  </si>
  <si>
    <t>0588 Interdyscyplinarne programy i kwalifikacje obejmujące nauki przyrodnicze, matematykę i statystykę</t>
  </si>
  <si>
    <t>059 Podgrupa nauk przyrodniczych, matematyki i statystyki gdzie indziej niesklasyfikowanych</t>
  </si>
  <si>
    <t>0599 Nauki przyrodnicze, matematyka i statystyka gdzie indziej niesklasyfikowane</t>
  </si>
  <si>
    <t>06 Grupa  - Technologie teleinformacyjne</t>
  </si>
  <si>
    <t>061 Podgrupa technologii teleinformacyjnych</t>
  </si>
  <si>
    <t>0610 Technologie teleinformacyjne</t>
  </si>
  <si>
    <t>nieokreślone dalej</t>
  </si>
  <si>
    <t>0611Obsługa i użytkowanie komputerów</t>
  </si>
  <si>
    <t>0612 Projektowanie i administrowanie baz danych i sieci</t>
  </si>
  <si>
    <t>0619 Technologie teleinformacyjne gdzie indziej niesklasyfikowane</t>
  </si>
  <si>
    <t>068 Podgrupa interdyscyplinarnych programów i kwalifikacji obejmujących technologie informacyjno-komunikacyjne</t>
  </si>
  <si>
    <t>0688 Interdyscyplinarne programy i kwalifikacje obejmujące technologie informacyjno-komunikacyjne</t>
  </si>
  <si>
    <t>07 Grupa – Technika, przemysł, budownictwo</t>
  </si>
  <si>
    <t>070 Podgrupa techniki, przemysłu i budownictwa nieokreślonych dalej</t>
  </si>
  <si>
    <t>0700 Technika, przemysł i budownictwo nieokreślone dalej</t>
  </si>
  <si>
    <t>071 Podgrupa inżynieryjno-techniczna</t>
  </si>
  <si>
    <t>0710 Inżynieria i zawody inżynieryjne nieokreślone dalej</t>
  </si>
  <si>
    <t>0711 Inżynieria chemiczna i procesowa</t>
  </si>
  <si>
    <t>0712 Technologie związane z ochroną środowiska</t>
  </si>
  <si>
    <t>0713 Elektryczność i energia</t>
  </si>
  <si>
    <t>0714 Elektronika i automatyka</t>
  </si>
  <si>
    <t>0715 Mechanika i metalurgia</t>
  </si>
  <si>
    <t>0716 Pojazdy samochodowe, statki i samoloty</t>
  </si>
  <si>
    <t>0719 Inżynieria i zawody inżynierskie gdzie indziej niesklasyfikowane</t>
  </si>
  <si>
    <t>072 Podgrupa produkcji i przetwórstwa</t>
  </si>
  <si>
    <t xml:space="preserve">0720 Produkcja i przetwórstwo nieokreślone dalej </t>
  </si>
  <si>
    <t>0721 Przetwórstwo żywności</t>
  </si>
  <si>
    <t>0722 Surowce (szkło, papier, tworzywo sztuczne i drewno)</t>
  </si>
  <si>
    <t>0723 Tekstylia (odzież, obuwie i wyroby skórzane)</t>
  </si>
  <si>
    <t>0724 Górnictwo i wydobycie</t>
  </si>
  <si>
    <t>0729 Programy i kwalifikacje związane z przetwórstwem przemysłowym gdzie indziej niesklasyfikowane</t>
  </si>
  <si>
    <t>073 Podgrupa architektury i budownictwa</t>
  </si>
  <si>
    <t>0730 Architektura i budownictwo nieokreślone dalej</t>
  </si>
  <si>
    <t>0731 Architektura i planowanie przestrzenne</t>
  </si>
  <si>
    <t>0732 Budownictwo i inżynieria lądowa i wodna</t>
  </si>
  <si>
    <t>078 Podgrupa interdyscyplinarnych programów i kwalifikacji obejmujących technikę, przemysł i budownictwo</t>
  </si>
  <si>
    <t>0788 Interdyscyplinarne programy i kwalifikacje obejmujące technikę, przemysł i budownictwo</t>
  </si>
  <si>
    <t>079 Podgrupa techniki, przemysłu i budownictwa gdzie indziej niesklasyfikowanych</t>
  </si>
  <si>
    <t>0799 Technika, przemysł i budownictwo gdzie indziej niesklasyfikowane</t>
  </si>
  <si>
    <t>08 Grupa - Rolnictwo</t>
  </si>
  <si>
    <t>080 Rolnictwo, leśnictwo, rybołówstwo i weterynaria nieokreślone dalej</t>
  </si>
  <si>
    <t>0800 Rolnictwo, leśnictwo, rybołówstwo i weterynaria nieokreślone dalej</t>
  </si>
  <si>
    <t>081 Podgrupa rolnicza</t>
  </si>
  <si>
    <t>0810 Rolnictwo nieokreślone dalej</t>
  </si>
  <si>
    <t>0811 Produkcja roślinna i zwierzęca</t>
  </si>
  <si>
    <t>0812 Ogrodnictwo</t>
  </si>
  <si>
    <t>0819 Programy i kwalifikacje związane z rolnictwem gdzie indziej niesklasyfikowane</t>
  </si>
  <si>
    <t>082 Podgrupa leśna</t>
  </si>
  <si>
    <t>0821 Leśnictwo</t>
  </si>
  <si>
    <t>083 Podgrupa rybactwa</t>
  </si>
  <si>
    <t>0831 Rybactwo</t>
  </si>
  <si>
    <t>084 Podgrupa weterynaryjna</t>
  </si>
  <si>
    <t>0841 Weterynaria</t>
  </si>
  <si>
    <t>088 Podgrupa interdyscyplinarnych programów i kwalifikacji obejmujących rolnictwo, leśnictwo, rybactwo i weterynarię</t>
  </si>
  <si>
    <t>0888 Interdyscyplinarne programy i kwalifikacje obejmujące rolnictwo, leśnictwo, rybactwo i weterynarię</t>
  </si>
  <si>
    <t>089 Podgrupa rolnictwa, leśnictwa, rybactwa i weterynaria gdzie indziej niesklasyfikowanych</t>
  </si>
  <si>
    <t>0899 Rolnictwo, leśnictwo, rybactwo i weterynaria gdzie indziej niesklasyfikowane</t>
  </si>
  <si>
    <t>09 Grupa - Zdrowie i opieka społeczna</t>
  </si>
  <si>
    <t>090 Podgrupa zdrowia i opieki społecznej nieokreślonych dalej</t>
  </si>
  <si>
    <t>0900 Zdrowie i opieka społeczna nieokreślone dalej</t>
  </si>
  <si>
    <t>091 Podgrupa medyczna</t>
  </si>
  <si>
    <t>0910 Zdrowie nieokreślone dalej</t>
  </si>
  <si>
    <t>0911 Stomatologia</t>
  </si>
  <si>
    <t>0912 Medycyna</t>
  </si>
  <si>
    <t>0913 Pielęgniarstwo i położnictwo</t>
  </si>
  <si>
    <t>0914 Technologie związane z diagnostyką i leczeniem</t>
  </si>
  <si>
    <t>0915 Terapia i rehabilitacja</t>
  </si>
  <si>
    <t>0916 Farmacja</t>
  </si>
  <si>
    <t>0917 Medycyna i terapia tradycyjna oraz komplementarna</t>
  </si>
  <si>
    <t>0919 Zdrowie gdzie indziej niesklasyfikowane</t>
  </si>
  <si>
    <t>092 Podgrupa opieki społecznej</t>
  </si>
  <si>
    <t>0920 Opieka społeczna nieokreślona dalej</t>
  </si>
  <si>
    <t xml:space="preserve">0921 Opieka nad osobami starszymi i dorosłymi niepełnosprawnymi </t>
  </si>
  <si>
    <t>0922 Usługi związane z opieką nad dziećmi i młodzieżą</t>
  </si>
  <si>
    <t>0923 Praca socjalna i doradztwo</t>
  </si>
  <si>
    <t>0929 Opieka społeczna gdzie indziej niesklasyfikowana</t>
  </si>
  <si>
    <t>098 Podgrupa interdyscyplinarnych programów i kwalifikacji obejmujących zdrowie i opiekę społeczną</t>
  </si>
  <si>
    <t>0988 Interdyscyplinarne programy i kwalifikacje obejmujące zdrowie i opiekę społeczną</t>
  </si>
  <si>
    <t>099 Podgrupa zdrowie i opieka społeczna gdzie indziej niesklasyfikowane</t>
  </si>
  <si>
    <t>0999 Zdrowie i opieka społeczna gdzie indziej niesklasyfikowane</t>
  </si>
  <si>
    <t>10 Grupa - Usługi</t>
  </si>
  <si>
    <t>100 Podgrupa usług nieokreślonych dalej</t>
  </si>
  <si>
    <t>1000 Usługi nieokreślone dalej</t>
  </si>
  <si>
    <t>101 Podgrupa usług dla ludności</t>
  </si>
  <si>
    <t>1010 Usługi dla ludności nieokreślone dalej</t>
  </si>
  <si>
    <t>1011 Usługi domowe</t>
  </si>
  <si>
    <t>1012 Pielęgnacja włosów i urody</t>
  </si>
  <si>
    <t xml:space="preserve">1013 Hotele, restauracje i katering </t>
  </si>
  <si>
    <t>1014 Sport</t>
  </si>
  <si>
    <t>1015 Turystyka i wypoczynek</t>
  </si>
  <si>
    <t>1019 Programy i kwalifikacje związane z usługi dla ludności gdzie indziej niesklasyfikowane</t>
  </si>
  <si>
    <t xml:space="preserve">102 Podgrupa higieny i bezpieczeństwa pracy </t>
  </si>
  <si>
    <t xml:space="preserve">1020 Usługi higieny i bezpieczeństwa pracy nieokreślone dalej </t>
  </si>
  <si>
    <t>1021 Higiena publiczna</t>
  </si>
  <si>
    <t>1022 Bezpieczeństwo i higiena pracy</t>
  </si>
  <si>
    <t xml:space="preserve">1029 Programy i kwalifikacje związane z usługami w zakresie higieny i bezpieczeństwa pracy </t>
  </si>
  <si>
    <t xml:space="preserve"> b</t>
  </si>
  <si>
    <t xml:space="preserve">1030 Ochrona i bezpieczeństwo nieokreślone dalej </t>
  </si>
  <si>
    <t>1031 Wojsko i obronność</t>
  </si>
  <si>
    <t>1032 Ochrona osób i mienia</t>
  </si>
  <si>
    <t>1039 Programy i kwalifikacje związane z ochroną i bezpieczeństwem gdzie indziej niesklasyfikowane</t>
  </si>
  <si>
    <t>104 Podgrupa usług transportowych</t>
  </si>
  <si>
    <t>1041 Transport</t>
  </si>
  <si>
    <t>108 Podgrupa interdyscyplinarnych programów i kwalifikacji obejmujących usługi</t>
  </si>
  <si>
    <t>1088 Interdyscyplinarne programy i kwalifikacje obejmujące usługi</t>
  </si>
  <si>
    <t>109 Podgrupa usług gdzie indziej niesklasyfikowanych</t>
  </si>
  <si>
    <t>1099 Usługi gdzie indziej niesklasyfikowane</t>
  </si>
  <si>
    <t>99 Grupa - Obszar nieznany</t>
  </si>
  <si>
    <t>999 Podgrupa obszar nieznany</t>
  </si>
  <si>
    <t>9999 Obszar nieznany</t>
  </si>
  <si>
    <t>NAZWA DZIEDZINY/DYSCYPLINY</t>
  </si>
  <si>
    <t>KOD</t>
  </si>
  <si>
    <t xml:space="preserve">1 Dziedzina nauk humanistycznych </t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</si>
  <si>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1) archeologia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</si>
  <si>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2) filozofia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</si>
  <si>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3) historia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</si>
  <si>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4) językoznawstwo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</si>
  <si>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5) literaturoznawstwo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</si>
  <si>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6) nauki o kulturze i religii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</si>
  <si>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7) nauki o sztuce</t>
    </r>
  </si>
  <si>
    <t xml:space="preserve">2 Dziedzina nauk inżynieryjno-technicznych </t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</si>
  <si>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1) architektura i urbanistyka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</si>
  <si>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2) automatyka, elektronika i elektrotechnika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</si>
  <si>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3) informatyka techniczna i telekomunikacja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</si>
  <si>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4) inżynieria biomedyczna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</si>
  <si>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5) inżynieria chemiczna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</si>
  <si>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6) inżynieria lądowa i transport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</si>
  <si>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7) inżynieria materiałowa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</si>
  <si>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8) inżynieria mechaniczna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</si>
  <si>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9) inżynieria środowiska, górnictwo i energetyka</t>
    </r>
  </si>
  <si>
    <t xml:space="preserve">3 Dziedzina nauk medycznych i nauk o zdrowiu </t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</si>
  <si>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1) nauki farmaceutyczne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</si>
  <si>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2) nauki medyczne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</si>
  <si>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3) nauki o kulturze fizycznej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</si>
  <si>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4) nauki o zdrowiu</t>
    </r>
  </si>
  <si>
    <t xml:space="preserve">4 Dziedzina nauk rolniczych </t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</si>
  <si>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1) nauki leśne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</si>
  <si>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2) rolnictwo i ogrodnictwo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</si>
  <si>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3) technologia żywności i żywienia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</si>
  <si>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4) weterynaria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</si>
  <si>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5) zootechnika i rybactwo</t>
    </r>
  </si>
  <si>
    <t xml:space="preserve">5 Dziedzina nauk społecznych </t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</si>
  <si>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1) ekonomia i finanse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</si>
  <si>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2) geografia społeczno-ekonomiczna i gospodarka przestrzenna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</si>
  <si>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3) nauki o bezpieczeństwie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</si>
  <si>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4) nauki o komunikacji społecznej i mediach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</si>
  <si>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5) nauki o polityce i administracji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</si>
  <si>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6) nauki o zarządzaniu i jakości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</si>
  <si>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7) nauki prawne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</si>
  <si>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8) nauki socjologiczne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</si>
  <si>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9) pedagogika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</si>
  <si>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10) prawo kanoniczne</t>
    </r>
  </si>
  <si>
    <r>
      <rPr>
        <sz val="11"/>
        <color theme="1"/>
        <rFont val="Tahoma"/>
        <family val="2"/>
        <charset val="238"/>
      </rPr>
      <t xml:space="preserve"> </t>
    </r>
    <r>
      <rPr>
        <sz val="11"/>
        <color rgb="FF003300"/>
        <rFont val="Tahoma"/>
        <family val="2"/>
        <charset val="238"/>
      </rPr>
      <t>11) psychologia</t>
    </r>
  </si>
  <si>
    <r>
      <rPr>
        <sz val="11"/>
        <color rgb="FF242021"/>
        <rFont val="Tahoma"/>
        <family val="2"/>
        <charset val="238"/>
      </rPr>
      <t xml:space="preserve">6 </t>
    </r>
    <r>
      <rPr>
        <sz val="11"/>
        <color rgb="FF242021"/>
        <rFont val="Tahoma"/>
        <family val="2"/>
        <charset val="238"/>
      </rPr>
      <t xml:space="preserve">Dziedzina nauk ścisłych i przyrodniczych </t>
    </r>
  </si>
  <si>
    <t xml:space="preserve"> 1) astronomia</t>
  </si>
  <si>
    <t xml:space="preserve"> 2) informatyka</t>
  </si>
  <si>
    <t xml:space="preserve"> 3) matematyka</t>
  </si>
  <si>
    <t xml:space="preserve"> 4) nauki biologiczne</t>
  </si>
  <si>
    <t xml:space="preserve"> 5) nauki chemiczne</t>
  </si>
  <si>
    <t xml:space="preserve"> 6) nauki fizyczne</t>
  </si>
  <si>
    <t xml:space="preserve"> 7) nauki o Ziemi i środowisku</t>
  </si>
  <si>
    <r>
      <rPr>
        <sz val="11"/>
        <color rgb="FF242021"/>
        <rFont val="Tahoma"/>
        <family val="2"/>
        <charset val="238"/>
      </rPr>
      <t xml:space="preserve">7 </t>
    </r>
    <r>
      <rPr>
        <sz val="11"/>
        <color rgb="FF242021"/>
        <rFont val="Tahoma"/>
        <family val="2"/>
        <charset val="238"/>
      </rPr>
      <t xml:space="preserve">Dziedzina nauk teologicznych </t>
    </r>
  </si>
  <si>
    <t xml:space="preserve"> nauki teologiczne</t>
  </si>
  <si>
    <r>
      <rPr>
        <sz val="11"/>
        <color rgb="FF242021"/>
        <rFont val="Tahoma"/>
        <family val="2"/>
        <charset val="238"/>
      </rPr>
      <t xml:space="preserve">8 </t>
    </r>
    <r>
      <rPr>
        <sz val="11"/>
        <color rgb="FF242021"/>
        <rFont val="Tahoma"/>
        <family val="2"/>
        <charset val="238"/>
      </rPr>
      <t xml:space="preserve">Dziedzina sztuki </t>
    </r>
  </si>
  <si>
    <t xml:space="preserve"> 1) sztuki filmowe i teatralne</t>
  </si>
  <si>
    <t xml:space="preserve"> 2) sztuki muzyczne</t>
  </si>
  <si>
    <t xml:space="preserve"> 3) sztuki plastyczne i konserwacja dzieł sztuki</t>
  </si>
  <si>
    <t>Regulując stosunek godziny/ECTS wpływamy na liczbę godzin w bezpośrednim kontakcie, która nie może być niższa niż 50%</t>
  </si>
  <si>
    <t>Arkusz automatycznie przelicza liczbę ECTS w zależności od ilości godzin i formy zajęć</t>
  </si>
  <si>
    <t>15 g</t>
  </si>
  <si>
    <t>egzamin</t>
  </si>
  <si>
    <t>30 g</t>
  </si>
  <si>
    <t>zaliczenie</t>
  </si>
  <si>
    <t>45 g</t>
  </si>
  <si>
    <t xml:space="preserve">Połączenie Projektowanie i budowa sieci teleinformatycznych z </t>
  </si>
  <si>
    <t xml:space="preserve">Podstawy elektroniki </t>
  </si>
  <si>
    <t>przenieść do przedmiotów podstawowych</t>
  </si>
  <si>
    <t>programowanie układów mikroprocesorowych</t>
  </si>
  <si>
    <t>wprowadzić dla specjalności programowanie</t>
  </si>
  <si>
    <t>zmniejszenie zaawansowane podstawy sieci do 25 g</t>
  </si>
  <si>
    <t>dodano Programowanie układów mikroprocesorowych dla specjalnośc programowanie</t>
  </si>
  <si>
    <t>Usługi sieciowe - zamiast planowanie i wdrażanie usłaug na bazie WS i EXCH</t>
  </si>
  <si>
    <t>Propozycje Administrator:</t>
  </si>
  <si>
    <t>Routing i przełączanie w sieci</t>
  </si>
  <si>
    <t>Architektura sieci komputerowych</t>
  </si>
  <si>
    <t>Monitorowanie i zarządzanie urządzeniami sieciowymi</t>
  </si>
  <si>
    <t>Mobilne systemy operacyjne</t>
  </si>
  <si>
    <t>Sieci bezprzewodowe</t>
  </si>
  <si>
    <t>Sprawdź dziedziny/dyscypliny</t>
  </si>
  <si>
    <t>Studenckie praktyki zawodowe: pierwsze 2 semestry w kierunkowych, pozostałe w specjlnościowych</t>
  </si>
  <si>
    <t>pkt 7) liczbę punktów ECTS, jaką student musi uzyskać w ramach zajęć z dziedziny nauk humanistycznych lub nauk społecznych, nie mniejszą niż 5 punktów ECTS – w przypadku kierunków studiów przyporządkowanych do dyscyplin w ramach dziedzin innych niż odpowiednio nauki humanistyczne lub nauki społeczne;</t>
  </si>
  <si>
    <t>1. Zebrać CV potencjalnych wykładowców</t>
  </si>
  <si>
    <t>2.  Usunąć jeden przedmiot ze specjalnosci administrator</t>
  </si>
  <si>
    <t>3. W programie studiów opisac znaczenie przedmiotu dla dyscypliny wiodącej</t>
  </si>
  <si>
    <t>4. Jeden efekt do kilku przedmiotow</t>
  </si>
  <si>
    <t>5. 12 efektow umiejestnosci, pozostale 6-8</t>
  </si>
  <si>
    <t>Przedmioty kierunkowe</t>
  </si>
  <si>
    <t>1. Podstawy systemów serwerowych</t>
  </si>
  <si>
    <t xml:space="preserve">2. </t>
  </si>
  <si>
    <r>
      <t xml:space="preserve">Każdy punkt ECTS składa się z dwóch elementów (praca własna studenta i udział w zajęciach), a w związku z tym, łączna liczba punktów ECTS, jaką student musi uzyskać w ramach </t>
    </r>
    <r>
      <rPr>
        <b/>
        <u/>
        <sz val="12"/>
        <color rgb="FFFF0000"/>
        <rFont val="Arial"/>
        <family val="2"/>
        <charset val="238"/>
      </rPr>
      <t>zajęć z bezpośrednim udziałem nauczycieli akademickich</t>
    </r>
    <r>
      <rPr>
        <sz val="12"/>
        <color rgb="FF2E2E2E"/>
        <rFont val="Arial"/>
        <family val="2"/>
        <charset val="238"/>
      </rPr>
      <t xml:space="preserve"> określona w danym programie studiów </t>
    </r>
    <r>
      <rPr>
        <b/>
        <sz val="12"/>
        <color rgb="FFFF0000"/>
        <rFont val="Arial"/>
        <family val="2"/>
        <charset val="238"/>
      </rPr>
      <t>(w przypadku studiów stacjonarnych – co najmniej połowa punktów ECTS objętych programem studiów)</t>
    </r>
    <r>
      <rPr>
        <sz val="12"/>
        <color rgb="FF2E2E2E"/>
        <rFont val="Arial"/>
        <family val="2"/>
        <charset val="238"/>
      </rPr>
      <t>, powinna stanowić sumę wartości poszczególnych punktów ECTS odnoszących się do jego udziału w poszczególnych, zajęciach prowadzonych przez nauczycieli.</t>
    </r>
  </si>
  <si>
    <t>NIE</t>
  </si>
  <si>
    <t>Nazwa przedmiotu</t>
  </si>
  <si>
    <t>Prowadzacy</t>
  </si>
  <si>
    <t>Forma</t>
  </si>
  <si>
    <t>Umiej.prakt.</t>
  </si>
  <si>
    <t>Modul</t>
  </si>
  <si>
    <t>kod.dziedziny</t>
  </si>
  <si>
    <t>kod.isced</t>
  </si>
  <si>
    <t>czy.ects</t>
  </si>
  <si>
    <t>sem1.godziny</t>
  </si>
  <si>
    <t>sem1.ects</t>
  </si>
  <si>
    <t>sem1.forma</t>
  </si>
  <si>
    <t>sem2.godziny</t>
  </si>
  <si>
    <t>sem2.ects</t>
  </si>
  <si>
    <t>sem2.forma</t>
  </si>
  <si>
    <t>sem3.godziny</t>
  </si>
  <si>
    <t>sem3.ects</t>
  </si>
  <si>
    <t>sem3.forma</t>
  </si>
  <si>
    <t>sem4.godziny</t>
  </si>
  <si>
    <t>sem4.ects</t>
  </si>
  <si>
    <t>sem4.forma</t>
  </si>
  <si>
    <t>sem5.godziny</t>
  </si>
  <si>
    <t>sem5.ects</t>
  </si>
  <si>
    <t>sem5.forma</t>
  </si>
  <si>
    <t>sem6.godziny</t>
  </si>
  <si>
    <t>sem6.ects</t>
  </si>
  <si>
    <t>sem6.forma</t>
  </si>
  <si>
    <t>sem7.godziny</t>
  </si>
  <si>
    <t>sem7.ects</t>
  </si>
  <si>
    <t>sem7.forma</t>
  </si>
  <si>
    <t>ects.razem</t>
  </si>
  <si>
    <t>ects.umiej.prakt.</t>
  </si>
  <si>
    <t>ects.bezposr.nauczyciel</t>
  </si>
  <si>
    <t>godziny.razem.student</t>
  </si>
  <si>
    <t>godziny.samoksztalcenie</t>
  </si>
  <si>
    <t>godziny.konsultacja</t>
  </si>
  <si>
    <t>godziny.egzamin</t>
  </si>
  <si>
    <t>godziny.zajec.razem</t>
  </si>
  <si>
    <t>ects.bezpos.kontakt.procent</t>
  </si>
  <si>
    <t>UP</t>
  </si>
  <si>
    <t>Stacjonarne</t>
  </si>
  <si>
    <t>Niestacjonarne</t>
  </si>
  <si>
    <t>sem8.godziny</t>
  </si>
  <si>
    <t>sem8.ects</t>
  </si>
  <si>
    <t>sem8.forma</t>
  </si>
  <si>
    <t>sem9.godziny</t>
  </si>
  <si>
    <t>sem9.ects</t>
  </si>
  <si>
    <t>sem9.forma</t>
  </si>
  <si>
    <t>sem10.godziny</t>
  </si>
  <si>
    <t>sem10.ects</t>
  </si>
  <si>
    <t>sem10.forma</t>
  </si>
  <si>
    <t>SEMESTR 8</t>
  </si>
  <si>
    <t>SEMESTR 9</t>
  </si>
  <si>
    <t>SEMESTR 10</t>
  </si>
  <si>
    <t>ROK 5</t>
  </si>
  <si>
    <t>Nazwa przedmiotu /
zajęć / grupy zajęć</t>
  </si>
  <si>
    <t>kod dziedziny /
dyscypliny</t>
  </si>
  <si>
    <t>PRZEDMIOTY DO WYBORU</t>
  </si>
  <si>
    <t>0322</t>
  </si>
  <si>
    <t>PRZEDMIOTY OGÓLNOUCZELNIANE</t>
  </si>
  <si>
    <t>RAZEM W GRUPIE PRZEDMIOTÓW OGÓLNOUCZELNIANYCH</t>
  </si>
  <si>
    <t>RAZEM W GRUPIE PRZEDMIOTÓW PODSTAWOWYCH</t>
  </si>
  <si>
    <t>RAZEM W GRUPIE PRZEDMIOTÓW KIERUNKOWYCH</t>
  </si>
  <si>
    <t>A1. PRZYGOTOWANIE MERYTORYCZNE DO NAUCZANIA PIERWSZEGO PRZEDMIOTU LUB PROWADZENIA PIERWSZYCH ZAJĘĆ</t>
  </si>
  <si>
    <t>RAZEM W GRUPIE PRZEDMIOTÓW DO WYBORU</t>
  </si>
  <si>
    <t>Szkolenie BHP</t>
  </si>
  <si>
    <t>1022</t>
  </si>
  <si>
    <t>seminarium</t>
  </si>
  <si>
    <t>RAZEM W GRUPIE SPECJALNOŚCI: SP4</t>
  </si>
  <si>
    <t>RAZEM W GRUPIE SPECJALNOŚCI: SP5</t>
  </si>
  <si>
    <t>SP4</t>
  </si>
  <si>
    <t>SP5</t>
  </si>
  <si>
    <t>0011</t>
  </si>
  <si>
    <t>ou.01.1</t>
  </si>
  <si>
    <t>Zaawansowana wypowiedź akademicka</t>
  </si>
  <si>
    <t>ou.02.1</t>
  </si>
  <si>
    <t>Przysposobienie akademickie</t>
  </si>
  <si>
    <t>0611</t>
  </si>
  <si>
    <t>ou.03.1</t>
  </si>
  <si>
    <t>Technologie informacyjne</t>
  </si>
  <si>
    <t>0421</t>
  </si>
  <si>
    <t>ou.04.1</t>
  </si>
  <si>
    <t>Ochrona własności intelektualnej</t>
  </si>
  <si>
    <t>1014</t>
  </si>
  <si>
    <t>ou.05.1</t>
  </si>
  <si>
    <t>Wychowanie fizyczne</t>
  </si>
  <si>
    <t>0231</t>
  </si>
  <si>
    <t>ou.06.1</t>
  </si>
  <si>
    <t>Język obcy</t>
  </si>
  <si>
    <t>ou.07.1</t>
  </si>
  <si>
    <t>ou.08.1</t>
  </si>
  <si>
    <t>0311</t>
  </si>
  <si>
    <t>pd.01.1</t>
  </si>
  <si>
    <t>Makroekonomia</t>
  </si>
  <si>
    <t>pd.01.2</t>
  </si>
  <si>
    <t>0413</t>
  </si>
  <si>
    <t>Zarządzanie</t>
  </si>
  <si>
    <t>pd.03.1</t>
  </si>
  <si>
    <t>pd.02.1</t>
  </si>
  <si>
    <t>Podstawy prawa</t>
  </si>
  <si>
    <t>0541</t>
  </si>
  <si>
    <t>pd.04.1</t>
  </si>
  <si>
    <t xml:space="preserve">Metody ilościowe </t>
  </si>
  <si>
    <t>pd.04.2</t>
  </si>
  <si>
    <t>0031</t>
  </si>
  <si>
    <t>pd.05.1</t>
  </si>
  <si>
    <t>Komunikacja interpersonalna</t>
  </si>
  <si>
    <t>pd.06.1</t>
  </si>
  <si>
    <t>Mikroekonomia</t>
  </si>
  <si>
    <t>0588</t>
  </si>
  <si>
    <t>pd.07.1</t>
  </si>
  <si>
    <t>Zastosowanie metod ilościowych</t>
  </si>
  <si>
    <t>0414</t>
  </si>
  <si>
    <t>pd.08.1</t>
  </si>
  <si>
    <t>Marketing</t>
  </si>
  <si>
    <t>0412</t>
  </si>
  <si>
    <t>pd.09.1</t>
  </si>
  <si>
    <t>pd.09.2</t>
  </si>
  <si>
    <t>Planowanie finansowe</t>
  </si>
  <si>
    <t>501</t>
  </si>
  <si>
    <t>kr.01.1</t>
  </si>
  <si>
    <t>Podstawy finansów</t>
  </si>
  <si>
    <t>kr.01.2</t>
  </si>
  <si>
    <t>0411</t>
  </si>
  <si>
    <t>kr.02.1</t>
  </si>
  <si>
    <t>Podstawy opodatkowania</t>
  </si>
  <si>
    <t>kr.03.1</t>
  </si>
  <si>
    <t>kr.03.2</t>
  </si>
  <si>
    <t>Podstawy rachunkowości</t>
  </si>
  <si>
    <t>kr.04.1</t>
  </si>
  <si>
    <t>kr.04.2</t>
  </si>
  <si>
    <t>Finanse instytucji rządowych i samorządowych</t>
  </si>
  <si>
    <t>kr.05.1</t>
  </si>
  <si>
    <t>Finanse przedsiębiorstwa</t>
  </si>
  <si>
    <t>kr.06.1</t>
  </si>
  <si>
    <t>kr.06.2</t>
  </si>
  <si>
    <t>Rachunkowość finansowa</t>
  </si>
  <si>
    <t>kr.07.1</t>
  </si>
  <si>
    <t>Sprawozdawczość finansowa</t>
  </si>
  <si>
    <t>0419</t>
  </si>
  <si>
    <t>kr.08.1</t>
  </si>
  <si>
    <t>kr.08.2</t>
  </si>
  <si>
    <t>Zasady prowadzenia działalności gospodarczej</t>
  </si>
  <si>
    <t>kr.09.1</t>
  </si>
  <si>
    <t>Bankowość</t>
  </si>
  <si>
    <t>kr.10.1</t>
  </si>
  <si>
    <t>Ubezpieczenia</t>
  </si>
  <si>
    <t>kr.11.1</t>
  </si>
  <si>
    <t>Prawo gospodarcze</t>
  </si>
  <si>
    <t>kr.12.1</t>
  </si>
  <si>
    <t>Podstawy rachunku kosztów</t>
  </si>
  <si>
    <t>kr.13.1</t>
  </si>
  <si>
    <t>kr.13.2</t>
  </si>
  <si>
    <t>Analiza finansowa</t>
  </si>
  <si>
    <t>kr.14.1</t>
  </si>
  <si>
    <t>kr.14.2</t>
  </si>
  <si>
    <t>Kalkulacje finansowe z Excelem</t>
  </si>
  <si>
    <t>kr.15.1</t>
  </si>
  <si>
    <t>kr.15.2</t>
  </si>
  <si>
    <t>Prawo karne gospodarcze</t>
  </si>
  <si>
    <t>kr.16.1</t>
  </si>
  <si>
    <t>Zamówienia publiczne</t>
  </si>
  <si>
    <t>kr.17.1</t>
  </si>
  <si>
    <t>Coaching</t>
  </si>
  <si>
    <t>kr.18.1</t>
  </si>
  <si>
    <t>Proseminarium</t>
  </si>
  <si>
    <t>kr.19.1</t>
  </si>
  <si>
    <t>Instruktaż do praktyk</t>
  </si>
  <si>
    <t>kr.19.2</t>
  </si>
  <si>
    <t>RAZEM W GRUPIE SPECJALNOŚCI: Księgowość i podatki w przedsiębiorstwie</t>
  </si>
  <si>
    <t>Księgowość i podatki w przedsiębiorstwie</t>
  </si>
  <si>
    <t>kip.01.1</t>
  </si>
  <si>
    <t>Rachunkowość małych firm</t>
  </si>
  <si>
    <t>kip.02.1</t>
  </si>
  <si>
    <t>kip.02.2</t>
  </si>
  <si>
    <t>Podatki w przedsiębiorstwie</t>
  </si>
  <si>
    <t>kip.03.1</t>
  </si>
  <si>
    <t>Organizacja rachunkowości</t>
  </si>
  <si>
    <t>kip.04.1</t>
  </si>
  <si>
    <t>kip.04.2</t>
  </si>
  <si>
    <t>Rozliczenia podatkowe przedsiębiorcy</t>
  </si>
  <si>
    <t>kip.05.1</t>
  </si>
  <si>
    <t>Rachunkowość skomputeryzowana</t>
  </si>
  <si>
    <t>kip.06.1</t>
  </si>
  <si>
    <t>kip.06.2</t>
  </si>
  <si>
    <t>Podstawy rachunkowości zarzadczej</t>
  </si>
  <si>
    <t>kip.07.1</t>
  </si>
  <si>
    <t>Ubezpieczenia i podatki w systemie płac</t>
  </si>
  <si>
    <t>kip.08.1</t>
  </si>
  <si>
    <t>Seminarium dyplomowe</t>
  </si>
  <si>
    <t>kip.09.1</t>
  </si>
  <si>
    <t>kip.08.2</t>
  </si>
  <si>
    <t>RAZEM W GRUPIE SPECJALNOŚCI: Płace i kadry</t>
  </si>
  <si>
    <t>Płace i kadry</t>
  </si>
  <si>
    <t>507</t>
  </si>
  <si>
    <t>pik.01.1</t>
  </si>
  <si>
    <t>Prawo pracy</t>
  </si>
  <si>
    <t>pik.02.1</t>
  </si>
  <si>
    <t>Dokumentacja pracownicza</t>
  </si>
  <si>
    <t>pik.02.2</t>
  </si>
  <si>
    <t>pik.03.1</t>
  </si>
  <si>
    <t>pik.03.2</t>
  </si>
  <si>
    <t>Czas pracy</t>
  </si>
  <si>
    <t>pik.04.1</t>
  </si>
  <si>
    <t>pik.04.2</t>
  </si>
  <si>
    <t>Ubezpieczenia w systemie płac</t>
  </si>
  <si>
    <t>pik.05.1</t>
  </si>
  <si>
    <t>pik.05.2</t>
  </si>
  <si>
    <t>Wynagrodzenia</t>
  </si>
  <si>
    <t>506</t>
  </si>
  <si>
    <t>pik.06.1</t>
  </si>
  <si>
    <t>pik.07.1</t>
  </si>
  <si>
    <t>Planowanie rozwoju zawodowego pracowników</t>
  </si>
  <si>
    <t>pik.08.1</t>
  </si>
  <si>
    <t>pik.09.1</t>
  </si>
  <si>
    <t>pik.09.2</t>
  </si>
  <si>
    <t>Rekrutacja i selekcja pracowników</t>
  </si>
  <si>
    <t>mpe.01.1</t>
  </si>
  <si>
    <t>Fundusze strukturalne UE</t>
  </si>
  <si>
    <t>mpe.02.1</t>
  </si>
  <si>
    <t>System instytucjonalnu UE</t>
  </si>
  <si>
    <t>mpe.03.1</t>
  </si>
  <si>
    <t>Rekrutacja i promocja projektów</t>
  </si>
  <si>
    <t>mpe.04.1</t>
  </si>
  <si>
    <t>Aplikowanie o środki europejskie</t>
  </si>
  <si>
    <t>Zarządzanie projektami</t>
  </si>
  <si>
    <t>mpe.05.1</t>
  </si>
  <si>
    <t>mpe.05.2</t>
  </si>
  <si>
    <t>mpe.06.1</t>
  </si>
  <si>
    <t>mpe.06.2</t>
  </si>
  <si>
    <t>Realizacja projektów</t>
  </si>
  <si>
    <t>mpe.07.1</t>
  </si>
  <si>
    <t>mpe.07.2</t>
  </si>
  <si>
    <t>mpe.08.1</t>
  </si>
  <si>
    <t>mpe.09.1</t>
  </si>
  <si>
    <t>mpe.09.2</t>
  </si>
  <si>
    <t>RAZEM W GRUPIE SPECJALNOŚCI: Menedżer projektów europejskich</t>
  </si>
  <si>
    <t>up</t>
  </si>
  <si>
    <t>pd.07.2</t>
  </si>
  <si>
    <t>Menedżer projektów europejskich</t>
  </si>
  <si>
    <t>Ewaluacja i kontrola projektów</t>
  </si>
  <si>
    <t>kr.07.2</t>
  </si>
  <si>
    <t>kr.10.2</t>
  </si>
  <si>
    <t>kr.16.2</t>
  </si>
  <si>
    <t>Studenckie praktyki zawodowe</t>
  </si>
  <si>
    <r>
      <rPr>
        <b/>
        <sz val="10"/>
        <color theme="1"/>
        <rFont val="Ebrima"/>
      </rPr>
      <t xml:space="preserve">Załącznik nr 1 </t>
    </r>
    <r>
      <rPr>
        <sz val="10"/>
        <color theme="1"/>
        <rFont val="Ebrima"/>
      </rPr>
      <t>do Programu studiów na kierunku FINANSE I RACHUNKOWOŚĆ, studia I stopnia, profil praktyczny,
stanowiącego załącznik nr 1 do Uchwały nr 26/2023 Senatu ANS w Wałczu z dnia 28.09.2023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</si>
</sst>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78" x14ac:knownFonts="1">
    <font>
      <sz val="11"/>
      <color theme="1"/>
      <name val="Arial"/>
    </font>
    <font>
      <sz val="10"/>
      <color theme="1"/>
      <name val="Arial"/>
      <family val="2"/>
      <charset val="238"/>
    </font>
    <font>
      <sz val="12"/>
      <color theme="1"/>
      <name val="Ebrima"/>
      <charset val="238"/>
    </font>
    <font>
      <sz val="10"/>
      <color theme="1"/>
      <name val="Ebrima"/>
      <charset val="238"/>
    </font>
    <font>
      <b/>
      <sz val="10"/>
      <color theme="1"/>
      <name val="Ebrima"/>
      <charset val="238"/>
    </font>
    <font>
      <b/>
      <sz val="12"/>
      <color rgb="FF000000"/>
      <name val="Ebrima"/>
      <charset val="238"/>
    </font>
    <font>
      <b/>
      <sz val="12"/>
      <color theme="1"/>
      <name val="Ebrima"/>
      <charset val="238"/>
    </font>
    <font>
      <sz val="8"/>
      <color theme="1"/>
      <name val="Times New Roman"/>
      <family val="1"/>
      <charset val="238"/>
    </font>
    <font>
      <sz val="8"/>
      <color theme="1"/>
      <name val="Ebrima"/>
      <charset val="238"/>
    </font>
    <font>
      <sz val="12"/>
      <color rgb="FF000000"/>
      <name val="Ebrima"/>
      <charset val="238"/>
    </font>
    <font>
      <sz val="12"/>
      <color rgb="FFFF0000"/>
      <name val="Ebrima"/>
      <charset val="238"/>
    </font>
    <font>
      <sz val="8"/>
      <color rgb="FF000000"/>
      <name val="Ebrima"/>
      <charset val="238"/>
    </font>
    <font>
      <b/>
      <sz val="8"/>
      <color theme="1"/>
      <name val="Ebrima"/>
      <charset val="238"/>
    </font>
    <font>
      <b/>
      <sz val="9"/>
      <color theme="1"/>
      <name val="Ebrima"/>
      <charset val="238"/>
    </font>
    <font>
      <sz val="9"/>
      <color theme="1"/>
      <name val="Ebrima"/>
      <charset val="238"/>
    </font>
    <font>
      <sz val="8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sz val="10"/>
      <color theme="1"/>
      <name val="Arial ce"/>
    </font>
    <font>
      <b/>
      <sz val="8"/>
      <color theme="1"/>
      <name val="Tahoma"/>
      <family val="2"/>
      <charset val="238"/>
    </font>
    <font>
      <sz val="11"/>
      <color rgb="FFFF0000"/>
      <name val="Tahoma"/>
      <family val="2"/>
      <charset val="238"/>
    </font>
    <font>
      <sz val="12"/>
      <color rgb="FFFF0000"/>
      <name val="Tahoma"/>
      <family val="2"/>
      <charset val="238"/>
    </font>
    <font>
      <sz val="8"/>
      <color rgb="FFFF0000"/>
      <name val="Tahoma"/>
      <family val="2"/>
      <charset val="238"/>
    </font>
    <font>
      <sz val="10"/>
      <color rgb="FFFF0000"/>
      <name val="Tahoma"/>
      <family val="2"/>
      <charset val="238"/>
    </font>
    <font>
      <sz val="10"/>
      <color rgb="FFFF0000"/>
      <name val="Arial"/>
      <family val="2"/>
      <charset val="238"/>
    </font>
    <font>
      <sz val="11"/>
      <color theme="1"/>
      <name val="Tahoma"/>
      <family val="2"/>
      <charset val="238"/>
    </font>
    <font>
      <sz val="12"/>
      <color theme="1"/>
      <name val="Tahoma"/>
      <family val="2"/>
      <charset val="238"/>
    </font>
    <font>
      <sz val="11"/>
      <color rgb="FF242021"/>
      <name val="Tahoma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Times New Roman"/>
      <family val="1"/>
      <charset val="238"/>
    </font>
    <font>
      <sz val="11"/>
      <color rgb="FF003300"/>
      <name val="Tahoma"/>
      <family val="2"/>
      <charset val="238"/>
    </font>
    <font>
      <sz val="10"/>
      <color theme="4"/>
      <name val="Ebrima"/>
      <charset val="238"/>
    </font>
    <font>
      <sz val="8"/>
      <color theme="4"/>
      <name val="Ebrima"/>
      <charset val="238"/>
    </font>
    <font>
      <sz val="12"/>
      <color theme="4"/>
      <name val="Ebrima"/>
      <charset val="238"/>
    </font>
    <font>
      <sz val="10"/>
      <color rgb="FFFF0000"/>
      <name val="Ebrima"/>
      <charset val="238"/>
    </font>
    <font>
      <sz val="12"/>
      <color rgb="FF2E2E2E"/>
      <name val="Arial"/>
      <family val="2"/>
      <charset val="238"/>
    </font>
    <font>
      <b/>
      <u/>
      <sz val="12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name val="Ebrima"/>
      <charset val="238"/>
    </font>
    <font>
      <sz val="8"/>
      <name val="Times New Roman"/>
      <family val="1"/>
      <charset val="238"/>
    </font>
    <font>
      <sz val="8"/>
      <name val="Ebrima"/>
      <charset val="238"/>
    </font>
    <font>
      <sz val="12"/>
      <name val="Ebrima"/>
      <charset val="238"/>
    </font>
    <font>
      <sz val="8"/>
      <name val="Arial"/>
      <family val="2"/>
    </font>
    <font>
      <b/>
      <sz val="20"/>
      <color theme="1"/>
      <name val="Ebrima"/>
      <charset val="238"/>
    </font>
    <font>
      <b/>
      <sz val="8"/>
      <color theme="1"/>
      <name val="Times New Roman"/>
      <family val="1"/>
      <charset val="238"/>
    </font>
    <font>
      <u/>
      <sz val="8"/>
      <color theme="10"/>
      <name val="Times New Roman"/>
      <family val="1"/>
      <charset val="238"/>
    </font>
    <font>
      <sz val="9"/>
      <name val="Ebrima"/>
      <charset val="238"/>
    </font>
    <font>
      <sz val="11"/>
      <color theme="1"/>
      <name val="Ebrima"/>
      <charset val="238"/>
    </font>
    <font>
      <sz val="11"/>
      <name val="Ebrima"/>
      <charset val="238"/>
    </font>
    <font>
      <sz val="9"/>
      <color theme="4"/>
      <name val="Ebrima"/>
      <charset val="238"/>
    </font>
    <font>
      <sz val="9"/>
      <color rgb="FF000000"/>
      <name val="Ebrima"/>
      <charset val="238"/>
    </font>
    <font>
      <sz val="9"/>
      <color rgb="FFFF0000"/>
      <name val="Ebrima"/>
      <charset val="238"/>
    </font>
    <font>
      <b/>
      <sz val="11"/>
      <color theme="1"/>
      <name val="Ebrima"/>
      <charset val="238"/>
    </font>
    <font>
      <sz val="12"/>
      <name val="Ebrima"/>
      <charset val="238"/>
    </font>
    <font>
      <sz val="10"/>
      <color rgb="FFFF0000"/>
      <name val="Ebrima"/>
    </font>
    <font>
      <sz val="10"/>
      <name val="Ebrima"/>
    </font>
    <font>
      <sz val="10"/>
      <color theme="1"/>
      <name val="Ebrima"/>
    </font>
    <font>
      <sz val="9"/>
      <name val="Ebrima"/>
    </font>
    <font>
      <sz val="8"/>
      <name val="Ebrima"/>
    </font>
    <font>
      <sz val="12"/>
      <name val="Ebrima"/>
    </font>
    <font>
      <sz val="12"/>
      <color theme="1"/>
      <name val="Ebrima"/>
    </font>
    <font>
      <b/>
      <sz val="10"/>
      <color theme="1"/>
      <name val="Ebrima"/>
    </font>
    <font>
      <sz val="12"/>
      <color rgb="FFFF0000"/>
      <name val="Ebrima"/>
    </font>
    <font>
      <b/>
      <sz val="12"/>
      <color theme="1"/>
      <name val="Ebrima"/>
    </font>
    <font>
      <b/>
      <sz val="12"/>
      <color rgb="FF000000"/>
      <name val="Ebrima"/>
    </font>
    <font>
      <sz val="11"/>
      <name val="Ebrima"/>
    </font>
    <font>
      <sz val="10"/>
      <color theme="4"/>
      <name val="Ebrima"/>
    </font>
    <font>
      <sz val="9"/>
      <color theme="4"/>
      <name val="Ebrima"/>
    </font>
    <font>
      <sz val="8"/>
      <color theme="4"/>
      <name val="Ebrima"/>
    </font>
    <font>
      <sz val="12"/>
      <color theme="4"/>
      <name val="Ebrima"/>
    </font>
    <font>
      <sz val="12"/>
      <color rgb="FF000000"/>
      <name val="Ebrima"/>
    </font>
    <font>
      <sz val="11"/>
      <color theme="1"/>
      <name val="Ebrima"/>
    </font>
    <font>
      <sz val="9"/>
      <color rgb="FF000000"/>
      <name val="Ebrima"/>
    </font>
    <font>
      <sz val="8"/>
      <color rgb="FF000000"/>
      <name val="Ebrima"/>
    </font>
    <font>
      <sz val="8"/>
      <color theme="1"/>
      <name val="Ebrima"/>
    </font>
    <font>
      <sz val="9"/>
      <color theme="1"/>
      <name val="Ebrima"/>
    </font>
    <font>
      <sz val="9"/>
      <color rgb="FFFF0000"/>
      <name val="Ebrima"/>
    </font>
    <font>
      <b/>
      <sz val="15"/>
      <color theme="1"/>
      <name val="Ebrima"/>
    </font>
    <font>
      <sz val="12"/>
      <color rgb="FFFFC000"/>
      <name val="Ebrima"/>
      <charset val="238"/>
    </font>
  </fonts>
  <fills count="5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00"/>
        <bgColor rgb="FFFFCC00"/>
      </patternFill>
    </fill>
    <fill>
      <patternFill patternType="solid">
        <fgColor rgb="FF00CCFF"/>
        <bgColor rgb="FF00CCFF"/>
      </patternFill>
    </fill>
    <fill>
      <patternFill patternType="solid">
        <fgColor rgb="FF99CC00"/>
        <bgColor rgb="FF99CC00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FFCC99"/>
        <bgColor rgb="FFFFCC99"/>
      </patternFill>
    </fill>
    <fill>
      <patternFill patternType="solid">
        <fgColor rgb="FF00FFCC"/>
        <bgColor rgb="FF00FFCC"/>
      </patternFill>
    </fill>
    <fill>
      <patternFill patternType="solid">
        <fgColor rgb="FFFFFF99"/>
        <bgColor rgb="FFFFFF99"/>
      </patternFill>
    </fill>
    <fill>
      <patternFill patternType="solid">
        <fgColor rgb="FFA8D08D"/>
        <bgColor rgb="FFA8D08D"/>
      </patternFill>
    </fill>
    <fill>
      <patternFill patternType="solid">
        <fgColor rgb="FF9CC2E5"/>
        <bgColor rgb="FF9CC2E5"/>
      </patternFill>
    </fill>
    <fill>
      <patternFill patternType="solid">
        <fgColor rgb="FFDEEAF6"/>
        <bgColor rgb="FFDEEAF6"/>
      </patternFill>
    </fill>
    <fill>
      <patternFill patternType="solid">
        <fgColor rgb="FF00B050"/>
        <bgColor rgb="FF00B050"/>
      </patternFill>
    </fill>
    <fill>
      <patternFill patternType="solid">
        <fgColor rgb="FFC5E0B3"/>
        <bgColor rgb="FFC5E0B3"/>
      </patternFill>
    </fill>
    <fill>
      <patternFill patternType="solid">
        <fgColor rgb="FFF4B083"/>
        <bgColor rgb="FFF4B083"/>
      </patternFill>
    </fill>
    <fill>
      <patternFill patternType="solid">
        <fgColor rgb="FFFF6600"/>
        <bgColor rgb="FFFF6600"/>
      </patternFill>
    </fill>
    <fill>
      <patternFill patternType="solid">
        <fgColor rgb="FFFF00FF"/>
        <bgColor rgb="FFFF00FF"/>
      </patternFill>
    </fill>
    <fill>
      <patternFill patternType="solid">
        <fgColor rgb="FFC0C0C0"/>
        <bgColor rgb="FFC0C0C0"/>
      </patternFill>
    </fill>
    <fill>
      <patternFill patternType="solid">
        <fgColor rgb="FFFF99FF"/>
        <bgColor rgb="FFFF99FF"/>
      </patternFill>
    </fill>
    <fill>
      <patternFill patternType="solid">
        <fgColor rgb="FFD9E2F3"/>
        <bgColor rgb="FFD9E2F3"/>
      </patternFill>
    </fill>
    <fill>
      <patternFill patternType="solid">
        <fgColor rgb="FF0099FF"/>
        <bgColor rgb="FF0099FF"/>
      </patternFill>
    </fill>
    <fill>
      <patternFill patternType="solid">
        <fgColor theme="0"/>
        <bgColor theme="0"/>
      </patternFill>
    </fill>
    <fill>
      <patternFill patternType="solid">
        <fgColor rgb="FFFF99CC"/>
        <bgColor rgb="FFFF99CC"/>
      </patternFill>
    </fill>
    <fill>
      <patternFill patternType="solid">
        <fgColor rgb="FFFFFFFF"/>
        <bgColor rgb="FFFFFFFF"/>
      </patternFill>
    </fill>
    <fill>
      <patternFill patternType="solid">
        <fgColor rgb="FFFEF2CB"/>
        <bgColor rgb="FFFEF2CB"/>
      </patternFill>
    </fill>
    <fill>
      <patternFill patternType="solid">
        <fgColor rgb="FFFEDA98"/>
        <bgColor rgb="FFFEDA98"/>
      </patternFill>
    </fill>
    <fill>
      <patternFill patternType="solid">
        <fgColor rgb="FFFFC000"/>
        <bgColor rgb="FFFFC000"/>
      </patternFill>
    </fill>
    <fill>
      <patternFill patternType="solid">
        <fgColor rgb="FF8EAADB"/>
        <bgColor rgb="FF8EAADB"/>
      </patternFill>
    </fill>
    <fill>
      <patternFill patternType="solid">
        <fgColor rgb="FF548135"/>
        <bgColor rgb="FF548135"/>
      </patternFill>
    </fill>
    <fill>
      <patternFill patternType="solid">
        <fgColor rgb="FF92D050"/>
        <bgColor rgb="FF92D050"/>
      </patternFill>
    </fill>
    <fill>
      <patternFill patternType="solid">
        <fgColor rgb="FF7030A0"/>
        <bgColor rgb="FF7030A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99FF"/>
      </patternFill>
    </fill>
    <fill>
      <patternFill patternType="solid">
        <fgColor theme="0"/>
        <bgColor rgb="FFFFFF99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A8D08D"/>
      </patternFill>
    </fill>
    <fill>
      <patternFill patternType="solid">
        <fgColor theme="0"/>
        <bgColor rgb="FF9CC2E5"/>
      </patternFill>
    </fill>
    <fill>
      <patternFill patternType="solid">
        <fgColor theme="0"/>
        <bgColor rgb="FFDEEAF6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C5E0B3"/>
      </patternFill>
    </fill>
    <fill>
      <patternFill patternType="solid">
        <fgColor theme="0"/>
        <bgColor rgb="FFF4B083"/>
      </patternFill>
    </fill>
    <fill>
      <patternFill patternType="solid">
        <fgColor theme="0"/>
        <bgColor rgb="FFFF99CC"/>
      </patternFill>
    </fill>
    <fill>
      <patternFill patternType="solid">
        <fgColor theme="0"/>
        <bgColor rgb="FFFF00FF"/>
      </patternFill>
    </fill>
    <fill>
      <patternFill patternType="solid">
        <fgColor theme="0"/>
        <bgColor rgb="FFFFCC00"/>
      </patternFill>
    </fill>
    <fill>
      <patternFill patternType="solid">
        <fgColor theme="0"/>
        <bgColor rgb="FFFFCC99"/>
      </patternFill>
    </fill>
    <fill>
      <patternFill patternType="solid">
        <fgColor theme="0"/>
        <bgColor rgb="FF99CCFF"/>
      </patternFill>
    </fill>
    <fill>
      <patternFill patternType="solid">
        <fgColor theme="4" tint="0.39997558519241921"/>
        <bgColor rgb="FFF4B083"/>
      </patternFill>
    </fill>
    <fill>
      <patternFill patternType="solid">
        <fgColor theme="7" tint="0.39997558519241921"/>
        <bgColor rgb="FFF4B083"/>
      </patternFill>
    </fill>
    <fill>
      <patternFill patternType="solid">
        <fgColor theme="9" tint="0.39997558519241921"/>
        <bgColor rgb="FFF4B083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rgb="FF99CCFF"/>
      </patternFill>
    </fill>
    <fill>
      <patternFill patternType="solid">
        <fgColor theme="0"/>
        <bgColor rgb="FFE7E6E6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7">
    <xf numFmtId="0" fontId="0" fillId="0" borderId="0" xfId="0"/>
    <xf numFmtId="0" fontId="2" fillId="0" borderId="0" xfId="0" applyFont="1"/>
    <xf numFmtId="49" fontId="3" fillId="6" borderId="10" xfId="0" applyNumberFormat="1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49" fontId="5" fillId="6" borderId="10" xfId="0" applyNumberFormat="1" applyFont="1" applyFill="1" applyBorder="1" applyAlignment="1">
      <alignment horizontal="center" vertical="center" wrapText="1"/>
    </xf>
    <xf numFmtId="0" fontId="2" fillId="21" borderId="11" xfId="0" applyFont="1" applyFill="1" applyBorder="1" applyAlignment="1">
      <alignment horizontal="center" vertical="center" wrapText="1"/>
    </xf>
    <xf numFmtId="49" fontId="6" fillId="21" borderId="7" xfId="0" applyNumberFormat="1" applyFont="1" applyFill="1" applyBorder="1" applyAlignment="1">
      <alignment horizontal="center" vertical="center" wrapText="1"/>
    </xf>
    <xf numFmtId="0" fontId="3" fillId="0" borderId="0" xfId="0" applyFont="1"/>
    <xf numFmtId="1" fontId="2" fillId="0" borderId="0" xfId="0" applyNumberFormat="1" applyFont="1"/>
    <xf numFmtId="0" fontId="2" fillId="0" borderId="0" xfId="0" applyFont="1" applyAlignment="1">
      <alignment wrapText="1"/>
    </xf>
    <xf numFmtId="0" fontId="12" fillId="25" borderId="1" xfId="0" applyFont="1" applyFill="1" applyBorder="1" applyAlignment="1">
      <alignment horizontal="left" vertical="center"/>
    </xf>
    <xf numFmtId="0" fontId="13" fillId="0" borderId="18" xfId="0" applyFont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left" vertical="center"/>
    </xf>
    <xf numFmtId="0" fontId="14" fillId="23" borderId="19" xfId="0" applyFont="1" applyFill="1" applyBorder="1" applyAlignment="1">
      <alignment horizontal="center" vertical="center" wrapText="1"/>
    </xf>
    <xf numFmtId="0" fontId="14" fillId="23" borderId="21" xfId="0" applyFont="1" applyFill="1" applyBorder="1" applyAlignment="1">
      <alignment horizontal="center" vertical="center" wrapText="1"/>
    </xf>
    <xf numFmtId="0" fontId="16" fillId="0" borderId="0" xfId="0" applyFont="1"/>
    <xf numFmtId="0" fontId="1" fillId="0" borderId="0" xfId="0" applyFont="1"/>
    <xf numFmtId="0" fontId="1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8" fillId="0" borderId="0" xfId="0" applyFont="1"/>
    <xf numFmtId="0" fontId="18" fillId="0" borderId="0" xfId="0" applyFont="1" applyAlignment="1">
      <alignment wrapText="1"/>
    </xf>
    <xf numFmtId="0" fontId="19" fillId="0" borderId="23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0" fontId="21" fillId="0" borderId="0" xfId="0" applyFont="1" applyAlignment="1">
      <alignment wrapText="1"/>
    </xf>
    <xf numFmtId="0" fontId="22" fillId="0" borderId="0" xfId="0" applyFont="1"/>
    <xf numFmtId="0" fontId="23" fillId="0" borderId="0" xfId="0" applyFont="1"/>
    <xf numFmtId="0" fontId="19" fillId="28" borderId="22" xfId="0" applyFont="1" applyFill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25" fillId="0" borderId="24" xfId="0" applyFont="1" applyBorder="1" applyAlignment="1">
      <alignment vertical="center" wrapText="1"/>
    </xf>
    <xf numFmtId="0" fontId="15" fillId="0" borderId="0" xfId="0" applyFont="1" applyAlignment="1">
      <alignment wrapText="1"/>
    </xf>
    <xf numFmtId="0" fontId="26" fillId="29" borderId="22" xfId="0" applyFont="1" applyFill="1" applyBorder="1" applyAlignment="1">
      <alignment vertical="center" wrapText="1"/>
    </xf>
    <xf numFmtId="0" fontId="26" fillId="16" borderId="22" xfId="0" applyFont="1" applyFill="1" applyBorder="1" applyAlignment="1">
      <alignment vertical="center" wrapText="1"/>
    </xf>
    <xf numFmtId="0" fontId="26" fillId="30" borderId="22" xfId="0" applyFont="1" applyFill="1" applyBorder="1" applyAlignment="1">
      <alignment vertical="center" wrapText="1"/>
    </xf>
    <xf numFmtId="0" fontId="26" fillId="31" borderId="22" xfId="0" applyFont="1" applyFill="1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26" fillId="32" borderId="22" xfId="0" applyFont="1" applyFill="1" applyBorder="1" applyAlignment="1">
      <alignment vertical="center" wrapText="1"/>
    </xf>
    <xf numFmtId="0" fontId="26" fillId="12" borderId="22" xfId="0" applyFont="1" applyFill="1" applyBorder="1" applyAlignment="1">
      <alignment vertical="center" wrapText="1"/>
    </xf>
    <xf numFmtId="0" fontId="27" fillId="0" borderId="0" xfId="0" applyFont="1" applyAlignment="1">
      <alignment wrapText="1"/>
    </xf>
    <xf numFmtId="0" fontId="27" fillId="0" borderId="0" xfId="0" applyFont="1"/>
    <xf numFmtId="0" fontId="17" fillId="0" borderId="0" xfId="0" applyFont="1"/>
    <xf numFmtId="0" fontId="28" fillId="0" borderId="0" xfId="0" applyFont="1"/>
    <xf numFmtId="0" fontId="3" fillId="33" borderId="26" xfId="0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horizontal="center" vertical="center" wrapText="1"/>
    </xf>
    <xf numFmtId="0" fontId="8" fillId="35" borderId="1" xfId="0" applyFont="1" applyFill="1" applyBorder="1" applyAlignment="1">
      <alignment horizontal="center" vertical="center" wrapText="1"/>
    </xf>
    <xf numFmtId="49" fontId="33" fillId="34" borderId="26" xfId="0" applyNumberFormat="1" applyFont="1" applyFill="1" applyBorder="1" applyAlignment="1">
      <alignment horizontal="center" vertical="center" wrapText="1"/>
    </xf>
    <xf numFmtId="0" fontId="8" fillId="35" borderId="26" xfId="0" applyFont="1" applyFill="1" applyBorder="1" applyAlignment="1">
      <alignment horizontal="center" vertical="center" wrapText="1"/>
    </xf>
    <xf numFmtId="0" fontId="3" fillId="35" borderId="26" xfId="0" applyFont="1" applyFill="1" applyBorder="1" applyAlignment="1">
      <alignment horizontal="center" vertical="center" wrapText="1"/>
    </xf>
    <xf numFmtId="0" fontId="2" fillId="33" borderId="0" xfId="0" applyFont="1" applyFill="1"/>
    <xf numFmtId="0" fontId="10" fillId="33" borderId="0" xfId="0" applyFont="1" applyFill="1"/>
    <xf numFmtId="0" fontId="3" fillId="35" borderId="1" xfId="0" applyFont="1" applyFill="1" applyBorder="1" applyAlignment="1">
      <alignment horizontal="center" vertical="center" wrapText="1"/>
    </xf>
    <xf numFmtId="0" fontId="9" fillId="36" borderId="1" xfId="0" applyFont="1" applyFill="1" applyBorder="1" applyAlignment="1">
      <alignment horizontal="center" vertical="center" wrapText="1"/>
    </xf>
    <xf numFmtId="0" fontId="2" fillId="37" borderId="1" xfId="0" applyFont="1" applyFill="1" applyBorder="1" applyAlignment="1">
      <alignment horizontal="center" vertical="center"/>
    </xf>
    <xf numFmtId="1" fontId="2" fillId="38" borderId="1" xfId="0" applyNumberFormat="1" applyFont="1" applyFill="1" applyBorder="1" applyAlignment="1">
      <alignment horizontal="center" vertical="center"/>
    </xf>
    <xf numFmtId="0" fontId="2" fillId="39" borderId="1" xfId="0" applyFont="1" applyFill="1" applyBorder="1" applyAlignment="1">
      <alignment horizontal="center" vertical="center"/>
    </xf>
    <xf numFmtId="49" fontId="6" fillId="21" borderId="15" xfId="0" applyNumberFormat="1" applyFont="1" applyFill="1" applyBorder="1" applyAlignment="1">
      <alignment horizontal="center" vertical="center" wrapText="1"/>
    </xf>
    <xf numFmtId="49" fontId="30" fillId="34" borderId="1" xfId="0" applyNumberFormat="1" applyFont="1" applyFill="1" applyBorder="1" applyAlignment="1">
      <alignment horizontal="center" vertical="center"/>
    </xf>
    <xf numFmtId="0" fontId="30" fillId="33" borderId="1" xfId="0" applyFont="1" applyFill="1" applyBorder="1" applyAlignment="1">
      <alignment horizontal="center" vertical="center" wrapText="1"/>
    </xf>
    <xf numFmtId="0" fontId="31" fillId="35" borderId="1" xfId="0" applyFont="1" applyFill="1" applyBorder="1" applyAlignment="1">
      <alignment horizontal="center" vertical="center" wrapText="1"/>
    </xf>
    <xf numFmtId="0" fontId="30" fillId="35" borderId="1" xfId="0" applyFont="1" applyFill="1" applyBorder="1" applyAlignment="1">
      <alignment horizontal="center" vertical="center" wrapText="1"/>
    </xf>
    <xf numFmtId="0" fontId="32" fillId="36" borderId="1" xfId="0" applyFont="1" applyFill="1" applyBorder="1" applyAlignment="1">
      <alignment horizontal="center" vertical="center" wrapText="1"/>
    </xf>
    <xf numFmtId="0" fontId="32" fillId="37" borderId="1" xfId="0" applyFont="1" applyFill="1" applyBorder="1" applyAlignment="1">
      <alignment horizontal="center" vertical="center"/>
    </xf>
    <xf numFmtId="0" fontId="32" fillId="38" borderId="1" xfId="0" applyFont="1" applyFill="1" applyBorder="1" applyAlignment="1">
      <alignment horizontal="center" vertical="center"/>
    </xf>
    <xf numFmtId="0" fontId="32" fillId="39" borderId="1" xfId="0" applyFont="1" applyFill="1" applyBorder="1" applyAlignment="1">
      <alignment horizontal="center" vertical="center"/>
    </xf>
    <xf numFmtId="0" fontId="32" fillId="40" borderId="1" xfId="0" applyFont="1" applyFill="1" applyBorder="1" applyAlignment="1">
      <alignment horizontal="center" vertical="center"/>
    </xf>
    <xf numFmtId="0" fontId="32" fillId="41" borderId="1" xfId="0" applyFont="1" applyFill="1" applyBorder="1" applyAlignment="1">
      <alignment horizontal="center" vertical="center"/>
    </xf>
    <xf numFmtId="0" fontId="32" fillId="42" borderId="1" xfId="0" applyFont="1" applyFill="1" applyBorder="1" applyAlignment="1">
      <alignment horizontal="center" vertical="center"/>
    </xf>
    <xf numFmtId="0" fontId="32" fillId="43" borderId="1" xfId="0" applyFont="1" applyFill="1" applyBorder="1" applyAlignment="1">
      <alignment horizontal="center" vertical="center" wrapText="1"/>
    </xf>
    <xf numFmtId="0" fontId="32" fillId="35" borderId="1" xfId="0" applyFont="1" applyFill="1" applyBorder="1" applyAlignment="1">
      <alignment horizontal="center" vertical="center" wrapText="1"/>
    </xf>
    <xf numFmtId="0" fontId="32" fillId="44" borderId="1" xfId="0" applyFont="1" applyFill="1" applyBorder="1" applyAlignment="1">
      <alignment horizontal="center" vertical="center" wrapText="1"/>
    </xf>
    <xf numFmtId="0" fontId="32" fillId="45" borderId="1" xfId="0" applyFont="1" applyFill="1" applyBorder="1" applyAlignment="1">
      <alignment horizontal="center" vertical="center" wrapText="1"/>
    </xf>
    <xf numFmtId="0" fontId="32" fillId="46" borderId="1" xfId="0" applyFont="1" applyFill="1" applyBorder="1" applyAlignment="1">
      <alignment horizontal="center" vertical="center" wrapText="1"/>
    </xf>
    <xf numFmtId="0" fontId="32" fillId="33" borderId="1" xfId="0" applyFont="1" applyFill="1" applyBorder="1" applyAlignment="1">
      <alignment horizontal="center" vertical="center" wrapText="1"/>
    </xf>
    <xf numFmtId="164" fontId="32" fillId="33" borderId="1" xfId="0" applyNumberFormat="1" applyFont="1" applyFill="1" applyBorder="1" applyAlignment="1">
      <alignment horizontal="center" vertical="center" wrapText="1"/>
    </xf>
    <xf numFmtId="49" fontId="4" fillId="21" borderId="15" xfId="0" applyNumberFormat="1" applyFont="1" applyFill="1" applyBorder="1" applyAlignment="1">
      <alignment horizontal="center" vertical="center" wrapText="1"/>
    </xf>
    <xf numFmtId="164" fontId="2" fillId="6" borderId="10" xfId="0" applyNumberFormat="1" applyFont="1" applyFill="1" applyBorder="1" applyAlignment="1">
      <alignment horizontal="right" vertical="center" wrapText="1" indent="2"/>
    </xf>
    <xf numFmtId="0" fontId="3" fillId="33" borderId="0" xfId="0" applyFont="1" applyFill="1"/>
    <xf numFmtId="1" fontId="2" fillId="33" borderId="0" xfId="0" applyNumberFormat="1" applyFont="1" applyFill="1"/>
    <xf numFmtId="0" fontId="2" fillId="33" borderId="0" xfId="0" applyFont="1" applyFill="1" applyAlignment="1">
      <alignment wrapText="1"/>
    </xf>
    <xf numFmtId="0" fontId="40" fillId="2" borderId="12" xfId="0" applyFont="1" applyFill="1" applyBorder="1" applyAlignment="1">
      <alignment horizontal="center" vertical="center" wrapText="1"/>
    </xf>
    <xf numFmtId="0" fontId="40" fillId="11" borderId="12" xfId="0" applyFont="1" applyFill="1" applyBorder="1" applyAlignment="1">
      <alignment horizontal="center" vertical="center"/>
    </xf>
    <xf numFmtId="1" fontId="40" fillId="12" borderId="12" xfId="0" applyNumberFormat="1" applyFont="1" applyFill="1" applyBorder="1" applyAlignment="1">
      <alignment horizontal="center" vertical="center"/>
    </xf>
    <xf numFmtId="0" fontId="40" fillId="13" borderId="12" xfId="0" applyFont="1" applyFill="1" applyBorder="1" applyAlignment="1">
      <alignment horizontal="center" vertical="center"/>
    </xf>
    <xf numFmtId="0" fontId="40" fillId="14" borderId="12" xfId="0" applyFont="1" applyFill="1" applyBorder="1" applyAlignment="1">
      <alignment horizontal="center" vertical="center"/>
    </xf>
    <xf numFmtId="0" fontId="40" fillId="15" borderId="12" xfId="0" applyFont="1" applyFill="1" applyBorder="1" applyAlignment="1">
      <alignment horizontal="center" vertical="center"/>
    </xf>
    <xf numFmtId="0" fontId="40" fillId="16" borderId="12" xfId="0" applyFont="1" applyFill="1" applyBorder="1" applyAlignment="1">
      <alignment horizontal="center" vertical="center"/>
    </xf>
    <xf numFmtId="0" fontId="40" fillId="24" borderId="12" xfId="0" applyFont="1" applyFill="1" applyBorder="1" applyAlignment="1">
      <alignment horizontal="center" vertical="center" wrapText="1"/>
    </xf>
    <xf numFmtId="0" fontId="40" fillId="10" borderId="12" xfId="0" applyFont="1" applyFill="1" applyBorder="1" applyAlignment="1">
      <alignment horizontal="center" vertical="center" wrapText="1"/>
    </xf>
    <xf numFmtId="0" fontId="40" fillId="18" borderId="12" xfId="0" applyFont="1" applyFill="1" applyBorder="1" applyAlignment="1">
      <alignment horizontal="center" vertical="center" wrapText="1"/>
    </xf>
    <xf numFmtId="0" fontId="40" fillId="3" borderId="12" xfId="0" applyFont="1" applyFill="1" applyBorder="1" applyAlignment="1">
      <alignment horizontal="center" vertical="center" wrapText="1"/>
    </xf>
    <xf numFmtId="0" fontId="40" fillId="8" borderId="12" xfId="0" applyFont="1" applyFill="1" applyBorder="1" applyAlignment="1">
      <alignment horizontal="center" vertical="center" wrapText="1"/>
    </xf>
    <xf numFmtId="0" fontId="40" fillId="0" borderId="12" xfId="0" applyFont="1" applyBorder="1" applyAlignment="1">
      <alignment horizontal="center" vertical="center" wrapText="1"/>
    </xf>
    <xf numFmtId="0" fontId="40" fillId="24" borderId="32" xfId="0" applyFont="1" applyFill="1" applyBorder="1" applyAlignment="1">
      <alignment horizontal="center" vertical="center" wrapText="1"/>
    </xf>
    <xf numFmtId="0" fontId="40" fillId="10" borderId="32" xfId="0" applyFont="1" applyFill="1" applyBorder="1" applyAlignment="1">
      <alignment horizontal="center" vertical="center" wrapText="1"/>
    </xf>
    <xf numFmtId="0" fontId="40" fillId="18" borderId="32" xfId="0" applyFont="1" applyFill="1" applyBorder="1" applyAlignment="1">
      <alignment horizontal="center" vertical="center" wrapText="1"/>
    </xf>
    <xf numFmtId="0" fontId="40" fillId="8" borderId="32" xfId="0" applyFont="1" applyFill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2" fillId="21" borderId="16" xfId="0" applyFont="1" applyFill="1" applyBorder="1" applyAlignment="1">
      <alignment horizontal="center" vertical="center" wrapText="1"/>
    </xf>
    <xf numFmtId="0" fontId="40" fillId="48" borderId="32" xfId="0" applyFont="1" applyFill="1" applyBorder="1" applyAlignment="1">
      <alignment horizontal="center" vertical="center"/>
    </xf>
    <xf numFmtId="0" fontId="40" fillId="49" borderId="32" xfId="0" applyFont="1" applyFill="1" applyBorder="1" applyAlignment="1">
      <alignment horizontal="center" vertical="center"/>
    </xf>
    <xf numFmtId="0" fontId="40" fillId="50" borderId="32" xfId="0" applyFont="1" applyFill="1" applyBorder="1" applyAlignment="1">
      <alignment horizontal="center" vertical="center"/>
    </xf>
    <xf numFmtId="0" fontId="0" fillId="0" borderId="1" xfId="0" applyBorder="1"/>
    <xf numFmtId="49" fontId="3" fillId="20" borderId="13" xfId="0" applyNumberFormat="1" applyFont="1" applyFill="1" applyBorder="1" applyAlignment="1">
      <alignment horizontal="center" vertical="center" wrapText="1"/>
    </xf>
    <xf numFmtId="0" fontId="2" fillId="20" borderId="9" xfId="0" applyFont="1" applyFill="1" applyBorder="1" applyAlignment="1">
      <alignment horizontal="center" vertical="center" wrapText="1"/>
    </xf>
    <xf numFmtId="0" fontId="5" fillId="20" borderId="9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49" fontId="3" fillId="18" borderId="35" xfId="0" applyNumberFormat="1" applyFont="1" applyFill="1" applyBorder="1" applyAlignment="1">
      <alignment horizontal="center" vertical="center" textRotation="90" wrapText="1"/>
    </xf>
    <xf numFmtId="0" fontId="2" fillId="2" borderId="47" xfId="0" applyFont="1" applyFill="1" applyBorder="1" applyAlignment="1">
      <alignment horizontal="center" vertical="center" textRotation="90" wrapText="1"/>
    </xf>
    <xf numFmtId="0" fontId="2" fillId="2" borderId="48" xfId="0" applyFont="1" applyFill="1" applyBorder="1" applyAlignment="1">
      <alignment horizontal="center" vertical="center" textRotation="90" wrapText="1"/>
    </xf>
    <xf numFmtId="0" fontId="2" fillId="2" borderId="49" xfId="0" applyFont="1" applyFill="1" applyBorder="1" applyAlignment="1">
      <alignment horizontal="center" vertical="center" textRotation="90" wrapText="1"/>
    </xf>
    <xf numFmtId="0" fontId="2" fillId="11" borderId="47" xfId="0" applyFont="1" applyFill="1" applyBorder="1" applyAlignment="1">
      <alignment horizontal="center" vertical="center" textRotation="90" wrapText="1"/>
    </xf>
    <xf numFmtId="0" fontId="2" fillId="11" borderId="48" xfId="0" applyFont="1" applyFill="1" applyBorder="1" applyAlignment="1">
      <alignment horizontal="center" vertical="center" textRotation="90" wrapText="1"/>
    </xf>
    <xf numFmtId="0" fontId="2" fillId="11" borderId="49" xfId="0" applyFont="1" applyFill="1" applyBorder="1" applyAlignment="1">
      <alignment horizontal="center" vertical="center" textRotation="90" wrapText="1"/>
    </xf>
    <xf numFmtId="0" fontId="2" fillId="12" borderId="47" xfId="0" applyFont="1" applyFill="1" applyBorder="1" applyAlignment="1">
      <alignment horizontal="center" vertical="center" textRotation="90" wrapText="1"/>
    </xf>
    <xf numFmtId="1" fontId="2" fillId="12" borderId="48" xfId="0" applyNumberFormat="1" applyFont="1" applyFill="1" applyBorder="1" applyAlignment="1">
      <alignment horizontal="center" vertical="center" textRotation="90" wrapText="1"/>
    </xf>
    <xf numFmtId="0" fontId="2" fillId="12" borderId="49" xfId="0" applyFont="1" applyFill="1" applyBorder="1" applyAlignment="1">
      <alignment horizontal="center" vertical="center" textRotation="90" wrapText="1"/>
    </xf>
    <xf numFmtId="0" fontId="2" fillId="13" borderId="47" xfId="0" applyFont="1" applyFill="1" applyBorder="1" applyAlignment="1">
      <alignment horizontal="center" vertical="center" textRotation="90" wrapText="1"/>
    </xf>
    <xf numFmtId="0" fontId="2" fillId="13" borderId="48" xfId="0" applyFont="1" applyFill="1" applyBorder="1" applyAlignment="1">
      <alignment horizontal="center" vertical="center" textRotation="90" wrapText="1"/>
    </xf>
    <xf numFmtId="0" fontId="2" fillId="13" borderId="49" xfId="0" applyFont="1" applyFill="1" applyBorder="1" applyAlignment="1">
      <alignment horizontal="center" vertical="center" textRotation="90" wrapText="1"/>
    </xf>
    <xf numFmtId="0" fontId="2" fillId="14" borderId="47" xfId="0" applyFont="1" applyFill="1" applyBorder="1" applyAlignment="1">
      <alignment horizontal="center" vertical="center" textRotation="90" wrapText="1"/>
    </xf>
    <xf numFmtId="0" fontId="2" fillId="14" borderId="48" xfId="0" applyFont="1" applyFill="1" applyBorder="1" applyAlignment="1">
      <alignment horizontal="center" vertical="center" textRotation="90" wrapText="1"/>
    </xf>
    <xf numFmtId="0" fontId="2" fillId="14" borderId="49" xfId="0" applyFont="1" applyFill="1" applyBorder="1" applyAlignment="1">
      <alignment horizontal="center" vertical="center" textRotation="90" wrapText="1"/>
    </xf>
    <xf numFmtId="0" fontId="2" fillId="15" borderId="47" xfId="0" applyFont="1" applyFill="1" applyBorder="1" applyAlignment="1">
      <alignment horizontal="center" vertical="center" textRotation="90" wrapText="1"/>
    </xf>
    <xf numFmtId="0" fontId="2" fillId="15" borderId="48" xfId="0" applyFont="1" applyFill="1" applyBorder="1" applyAlignment="1">
      <alignment horizontal="center" vertical="center" textRotation="90" wrapText="1"/>
    </xf>
    <xf numFmtId="0" fontId="2" fillId="15" borderId="49" xfId="0" applyFont="1" applyFill="1" applyBorder="1" applyAlignment="1">
      <alignment horizontal="center" vertical="center" textRotation="90" wrapText="1"/>
    </xf>
    <xf numFmtId="0" fontId="2" fillId="16" borderId="47" xfId="0" applyFont="1" applyFill="1" applyBorder="1" applyAlignment="1">
      <alignment horizontal="center" vertical="center" textRotation="90" wrapText="1"/>
    </xf>
    <xf numFmtId="0" fontId="2" fillId="16" borderId="48" xfId="0" applyFont="1" applyFill="1" applyBorder="1" applyAlignment="1">
      <alignment horizontal="center" vertical="center" textRotation="90" wrapText="1"/>
    </xf>
    <xf numFmtId="0" fontId="2" fillId="16" borderId="49" xfId="0" applyFont="1" applyFill="1" applyBorder="1" applyAlignment="1">
      <alignment horizontal="center" vertical="center" textRotation="90" wrapText="1"/>
    </xf>
    <xf numFmtId="0" fontId="2" fillId="48" borderId="47" xfId="0" applyFont="1" applyFill="1" applyBorder="1" applyAlignment="1">
      <alignment horizontal="center" vertical="center" textRotation="90" wrapText="1"/>
    </xf>
    <xf numFmtId="0" fontId="2" fillId="48" borderId="48" xfId="0" applyFont="1" applyFill="1" applyBorder="1" applyAlignment="1">
      <alignment horizontal="center" vertical="center" textRotation="90" wrapText="1"/>
    </xf>
    <xf numFmtId="0" fontId="2" fillId="48" borderId="49" xfId="0" applyFont="1" applyFill="1" applyBorder="1" applyAlignment="1">
      <alignment horizontal="center" vertical="center" textRotation="90" wrapText="1"/>
    </xf>
    <xf numFmtId="0" fontId="2" fillId="49" borderId="47" xfId="0" applyFont="1" applyFill="1" applyBorder="1" applyAlignment="1">
      <alignment horizontal="center" vertical="center" textRotation="90" wrapText="1"/>
    </xf>
    <xf numFmtId="0" fontId="2" fillId="49" borderId="48" xfId="0" applyFont="1" applyFill="1" applyBorder="1" applyAlignment="1">
      <alignment horizontal="center" vertical="center" textRotation="90" wrapText="1"/>
    </xf>
    <xf numFmtId="0" fontId="2" fillId="49" borderId="49" xfId="0" applyFont="1" applyFill="1" applyBorder="1" applyAlignment="1">
      <alignment horizontal="center" vertical="center" textRotation="90" wrapText="1"/>
    </xf>
    <xf numFmtId="0" fontId="2" fillId="50" borderId="47" xfId="0" applyFont="1" applyFill="1" applyBorder="1" applyAlignment="1">
      <alignment horizontal="center" vertical="center" textRotation="90" wrapText="1"/>
    </xf>
    <xf numFmtId="0" fontId="2" fillId="50" borderId="48" xfId="0" applyFont="1" applyFill="1" applyBorder="1" applyAlignment="1">
      <alignment horizontal="center" vertical="center" textRotation="90" wrapText="1"/>
    </xf>
    <xf numFmtId="0" fontId="2" fillId="50" borderId="49" xfId="0" applyFont="1" applyFill="1" applyBorder="1" applyAlignment="1">
      <alignment horizontal="center" vertical="center" textRotation="90" wrapText="1"/>
    </xf>
    <xf numFmtId="0" fontId="2" fillId="55" borderId="1" xfId="0" applyFont="1" applyFill="1" applyBorder="1" applyAlignment="1">
      <alignment horizontal="left" vertical="center" wrapText="1"/>
    </xf>
    <xf numFmtId="0" fontId="2" fillId="55" borderId="1" xfId="0" applyFont="1" applyFill="1" applyBorder="1" applyAlignment="1">
      <alignment horizontal="center" vertical="center" wrapText="1"/>
    </xf>
    <xf numFmtId="0" fontId="2" fillId="55" borderId="36" xfId="0" applyFont="1" applyFill="1" applyBorder="1" applyAlignment="1">
      <alignment horizontal="center" vertical="center" wrapText="1"/>
    </xf>
    <xf numFmtId="0" fontId="2" fillId="19" borderId="23" xfId="0" applyFont="1" applyFill="1" applyBorder="1" applyAlignment="1">
      <alignment horizontal="center" vertical="center" textRotation="90" wrapText="1"/>
    </xf>
    <xf numFmtId="0" fontId="2" fillId="10" borderId="23" xfId="0" applyFont="1" applyFill="1" applyBorder="1" applyAlignment="1">
      <alignment horizontal="center" vertical="center" textRotation="90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8" borderId="23" xfId="0" applyFont="1" applyFill="1" applyBorder="1" applyAlignment="1">
      <alignment horizontal="center" vertical="center" textRotation="90" wrapText="1"/>
    </xf>
    <xf numFmtId="0" fontId="2" fillId="3" borderId="23" xfId="0" applyFont="1" applyFill="1" applyBorder="1" applyAlignment="1">
      <alignment horizontal="center" vertical="center" textRotation="90" wrapText="1"/>
    </xf>
    <xf numFmtId="0" fontId="2" fillId="18" borderId="23" xfId="0" applyFont="1" applyFill="1" applyBorder="1" applyAlignment="1">
      <alignment horizontal="center" vertical="center" textRotation="90" wrapText="1"/>
    </xf>
    <xf numFmtId="49" fontId="37" fillId="22" borderId="14" xfId="0" applyNumberFormat="1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 vertical="center" wrapText="1"/>
    </xf>
    <xf numFmtId="0" fontId="39" fillId="10" borderId="12" xfId="0" applyFont="1" applyFill="1" applyBorder="1" applyAlignment="1">
      <alignment horizontal="center" vertical="center" wrapText="1"/>
    </xf>
    <xf numFmtId="0" fontId="37" fillId="10" borderId="12" xfId="0" applyFont="1" applyFill="1" applyBorder="1" applyAlignment="1">
      <alignment horizontal="center" vertical="center" wrapText="1"/>
    </xf>
    <xf numFmtId="0" fontId="40" fillId="12" borderId="12" xfId="0" applyFont="1" applyFill="1" applyBorder="1" applyAlignment="1">
      <alignment horizontal="center" vertical="center"/>
    </xf>
    <xf numFmtId="49" fontId="33" fillId="22" borderId="14" xfId="0" applyNumberFormat="1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9" fillId="10" borderId="10" xfId="0" applyFont="1" applyFill="1" applyBorder="1" applyAlignment="1">
      <alignment horizontal="center" vertical="center" wrapText="1"/>
    </xf>
    <xf numFmtId="0" fontId="37" fillId="10" borderId="10" xfId="0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7" fillId="25" borderId="1" xfId="0" applyFont="1" applyFill="1" applyBorder="1" applyAlignment="1">
      <alignment horizontal="left" vertical="center" wrapText="1"/>
    </xf>
    <xf numFmtId="0" fontId="7" fillId="0" borderId="0" xfId="0" applyFont="1"/>
    <xf numFmtId="0" fontId="7" fillId="25" borderId="1" xfId="0" applyFont="1" applyFill="1" applyBorder="1" applyAlignment="1">
      <alignment horizontal="left" vertical="center"/>
    </xf>
    <xf numFmtId="0" fontId="44" fillId="25" borderId="1" xfId="0" applyFont="1" applyFill="1" applyBorder="1" applyAlignment="1">
      <alignment horizontal="left" vertical="center"/>
    </xf>
    <xf numFmtId="0" fontId="43" fillId="27" borderId="23" xfId="0" applyFont="1" applyFill="1" applyBorder="1" applyAlignment="1">
      <alignment horizontal="left" vertical="center" wrapText="1"/>
    </xf>
    <xf numFmtId="0" fontId="43" fillId="27" borderId="7" xfId="0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43" fillId="0" borderId="25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43" fillId="0" borderId="24" xfId="0" applyFont="1" applyBorder="1" applyAlignment="1">
      <alignment horizontal="left" vertical="center" wrapText="1"/>
    </xf>
    <xf numFmtId="0" fontId="43" fillId="0" borderId="20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20" xfId="0" applyFont="1" applyBorder="1" applyAlignment="1">
      <alignment vertical="top" wrapText="1"/>
    </xf>
    <xf numFmtId="0" fontId="7" fillId="0" borderId="25" xfId="0" applyFont="1" applyBorder="1" applyAlignment="1">
      <alignment vertical="top" wrapText="1"/>
    </xf>
    <xf numFmtId="0" fontId="7" fillId="0" borderId="24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6" xfId="0" applyFont="1" applyBorder="1" applyAlignment="1">
      <alignment horizontal="left" vertical="center" wrapText="1"/>
    </xf>
    <xf numFmtId="0" fontId="2" fillId="33" borderId="1" xfId="0" applyFont="1" applyFill="1" applyBorder="1"/>
    <xf numFmtId="49" fontId="33" fillId="33" borderId="50" xfId="0" applyNumberFormat="1" applyFont="1" applyFill="1" applyBorder="1" applyAlignment="1">
      <alignment horizontal="center" vertical="center" wrapText="1"/>
    </xf>
    <xf numFmtId="0" fontId="3" fillId="33" borderId="50" xfId="0" applyFont="1" applyFill="1" applyBorder="1" applyAlignment="1">
      <alignment horizontal="center" vertical="center" wrapText="1"/>
    </xf>
    <xf numFmtId="0" fontId="40" fillId="2" borderId="10" xfId="0" applyFont="1" applyFill="1" applyBorder="1" applyAlignment="1">
      <alignment horizontal="center" vertical="center" wrapText="1"/>
    </xf>
    <xf numFmtId="0" fontId="40" fillId="14" borderId="10" xfId="0" applyFont="1" applyFill="1" applyBorder="1" applyAlignment="1">
      <alignment horizontal="center" vertical="center"/>
    </xf>
    <xf numFmtId="0" fontId="40" fillId="15" borderId="10" xfId="0" applyFont="1" applyFill="1" applyBorder="1" applyAlignment="1">
      <alignment horizontal="center" vertical="center"/>
    </xf>
    <xf numFmtId="0" fontId="40" fillId="16" borderId="10" xfId="0" applyFont="1" applyFill="1" applyBorder="1" applyAlignment="1">
      <alignment horizontal="center" vertical="center"/>
    </xf>
    <xf numFmtId="0" fontId="40" fillId="48" borderId="10" xfId="0" applyFont="1" applyFill="1" applyBorder="1" applyAlignment="1">
      <alignment horizontal="center" vertical="center"/>
    </xf>
    <xf numFmtId="0" fontId="40" fillId="49" borderId="10" xfId="0" applyFont="1" applyFill="1" applyBorder="1" applyAlignment="1">
      <alignment horizontal="center" vertical="center"/>
    </xf>
    <xf numFmtId="0" fontId="40" fillId="50" borderId="10" xfId="0" applyFont="1" applyFill="1" applyBorder="1" applyAlignment="1">
      <alignment horizontal="center" vertical="center"/>
    </xf>
    <xf numFmtId="0" fontId="40" fillId="24" borderId="10" xfId="0" applyFont="1" applyFill="1" applyBorder="1" applyAlignment="1">
      <alignment horizontal="center" vertical="center" wrapText="1"/>
    </xf>
    <xf numFmtId="0" fontId="40" fillId="10" borderId="10" xfId="0" applyFont="1" applyFill="1" applyBorder="1" applyAlignment="1">
      <alignment horizontal="center" vertical="center" wrapText="1"/>
    </xf>
    <xf numFmtId="0" fontId="40" fillId="18" borderId="10" xfId="0" applyFont="1" applyFill="1" applyBorder="1" applyAlignment="1">
      <alignment horizontal="center" vertical="center" wrapText="1"/>
    </xf>
    <xf numFmtId="0" fontId="40" fillId="8" borderId="10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49" fontId="33" fillId="33" borderId="36" xfId="0" applyNumberFormat="1" applyFont="1" applyFill="1" applyBorder="1" applyAlignment="1">
      <alignment horizontal="center" vertical="center" wrapText="1"/>
    </xf>
    <xf numFmtId="0" fontId="3" fillId="33" borderId="36" xfId="0" applyFont="1" applyFill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6" fillId="21" borderId="15" xfId="0" applyFont="1" applyFill="1" applyBorder="1" applyAlignment="1">
      <alignment horizontal="center" vertical="center" wrapText="1"/>
    </xf>
    <xf numFmtId="0" fontId="6" fillId="21" borderId="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7" fillId="10" borderId="32" xfId="0" applyFont="1" applyFill="1" applyBorder="1" applyAlignment="1">
      <alignment horizontal="center" vertical="center" wrapText="1"/>
    </xf>
    <xf numFmtId="49" fontId="33" fillId="22" borderId="14" xfId="0" applyNumberFormat="1" applyFont="1" applyFill="1" applyBorder="1" applyAlignment="1">
      <alignment horizontal="center" vertical="center"/>
    </xf>
    <xf numFmtId="0" fontId="37" fillId="0" borderId="32" xfId="0" applyFont="1" applyBorder="1" applyAlignment="1">
      <alignment horizontal="center" vertical="center" wrapText="1"/>
    </xf>
    <xf numFmtId="0" fontId="39" fillId="10" borderId="32" xfId="0" applyFont="1" applyFill="1" applyBorder="1" applyAlignment="1">
      <alignment horizontal="center" vertical="center" wrapText="1"/>
    </xf>
    <xf numFmtId="0" fontId="40" fillId="48" borderId="12" xfId="0" applyFont="1" applyFill="1" applyBorder="1" applyAlignment="1">
      <alignment horizontal="center" vertical="center"/>
    </xf>
    <xf numFmtId="0" fontId="40" fillId="49" borderId="12" xfId="0" applyFont="1" applyFill="1" applyBorder="1" applyAlignment="1">
      <alignment horizontal="center" vertical="center"/>
    </xf>
    <xf numFmtId="0" fontId="40" fillId="50" borderId="12" xfId="0" applyFont="1" applyFill="1" applyBorder="1" applyAlignment="1">
      <alignment horizontal="center" vertical="center"/>
    </xf>
    <xf numFmtId="49" fontId="3" fillId="22" borderId="14" xfId="0" applyNumberFormat="1" applyFont="1" applyFill="1" applyBorder="1" applyAlignment="1">
      <alignment horizontal="center" vertical="center" wrapText="1"/>
    </xf>
    <xf numFmtId="0" fontId="40" fillId="10" borderId="32" xfId="0" applyFont="1" applyFill="1" applyBorder="1" applyAlignment="1">
      <alignment horizontal="center" vertical="center"/>
    </xf>
    <xf numFmtId="164" fontId="40" fillId="0" borderId="33" xfId="0" applyNumberFormat="1" applyFont="1" applyBorder="1" applyAlignment="1">
      <alignment horizontal="right" vertical="center" wrapText="1" indent="2"/>
    </xf>
    <xf numFmtId="0" fontId="46" fillId="33" borderId="0" xfId="0" applyFont="1" applyFill="1"/>
    <xf numFmtId="0" fontId="6" fillId="55" borderId="35" xfId="0" applyFont="1" applyFill="1" applyBorder="1" applyAlignment="1">
      <alignment vertical="center"/>
    </xf>
    <xf numFmtId="0" fontId="6" fillId="55" borderId="36" xfId="0" applyFont="1" applyFill="1" applyBorder="1" applyAlignment="1">
      <alignment vertical="center"/>
    </xf>
    <xf numFmtId="0" fontId="5" fillId="6" borderId="10" xfId="0" applyFont="1" applyFill="1" applyBorder="1" applyAlignment="1">
      <alignment horizontal="left" vertical="center" wrapText="1"/>
    </xf>
    <xf numFmtId="0" fontId="40" fillId="10" borderId="12" xfId="0" applyFont="1" applyFill="1" applyBorder="1" applyAlignment="1">
      <alignment horizontal="center" vertical="center"/>
    </xf>
    <xf numFmtId="164" fontId="40" fillId="0" borderId="13" xfId="0" applyNumberFormat="1" applyFont="1" applyBorder="1" applyAlignment="1">
      <alignment horizontal="right" vertical="center" wrapText="1" indent="2"/>
    </xf>
    <xf numFmtId="0" fontId="48" fillId="23" borderId="1" xfId="0" applyFont="1" applyFill="1" applyBorder="1" applyAlignment="1">
      <alignment vertical="center" wrapText="1"/>
    </xf>
    <xf numFmtId="0" fontId="31" fillId="23" borderId="1" xfId="0" applyFont="1" applyFill="1" applyBorder="1" applyAlignment="1">
      <alignment vertical="center" wrapText="1"/>
    </xf>
    <xf numFmtId="0" fontId="32" fillId="35" borderId="1" xfId="0" applyFont="1" applyFill="1" applyBorder="1" applyAlignment="1">
      <alignment horizontal="center" vertical="center"/>
    </xf>
    <xf numFmtId="0" fontId="2" fillId="14" borderId="10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/>
    </xf>
    <xf numFmtId="0" fontId="2" fillId="16" borderId="10" xfId="0" applyFont="1" applyFill="1" applyBorder="1" applyAlignment="1">
      <alignment horizontal="center" vertical="center"/>
    </xf>
    <xf numFmtId="0" fontId="2" fillId="48" borderId="10" xfId="0" applyFont="1" applyFill="1" applyBorder="1" applyAlignment="1">
      <alignment horizontal="center" vertical="center"/>
    </xf>
    <xf numFmtId="0" fontId="2" fillId="49" borderId="10" xfId="0" applyFont="1" applyFill="1" applyBorder="1" applyAlignment="1">
      <alignment horizontal="center" vertical="center"/>
    </xf>
    <xf numFmtId="0" fontId="2" fillId="50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33" fillId="34" borderId="1" xfId="0" applyNumberFormat="1" applyFont="1" applyFill="1" applyBorder="1" applyAlignment="1">
      <alignment horizontal="center" vertical="center"/>
    </xf>
    <xf numFmtId="0" fontId="37" fillId="33" borderId="1" xfId="0" applyFont="1" applyFill="1" applyBorder="1" applyAlignment="1">
      <alignment horizontal="center" vertical="center" wrapText="1"/>
    </xf>
    <xf numFmtId="0" fontId="14" fillId="23" borderId="1" xfId="0" applyFont="1" applyFill="1" applyBorder="1" applyAlignment="1">
      <alignment vertical="center" wrapText="1"/>
    </xf>
    <xf numFmtId="0" fontId="8" fillId="23" borderId="1" xfId="0" applyFont="1" applyFill="1" applyBorder="1" applyAlignment="1">
      <alignment vertical="center" wrapText="1"/>
    </xf>
    <xf numFmtId="0" fontId="2" fillId="36" borderId="1" xfId="0" applyFont="1" applyFill="1" applyBorder="1" applyAlignment="1">
      <alignment horizontal="center" vertical="center" wrapText="1"/>
    </xf>
    <xf numFmtId="0" fontId="2" fillId="38" borderId="1" xfId="0" applyFont="1" applyFill="1" applyBorder="1" applyAlignment="1">
      <alignment horizontal="center" vertical="center"/>
    </xf>
    <xf numFmtId="0" fontId="2" fillId="40" borderId="1" xfId="0" applyFont="1" applyFill="1" applyBorder="1" applyAlignment="1">
      <alignment horizontal="center" vertical="center"/>
    </xf>
    <xf numFmtId="0" fontId="2" fillId="41" borderId="1" xfId="0" applyFont="1" applyFill="1" applyBorder="1" applyAlignment="1">
      <alignment horizontal="center" vertical="center"/>
    </xf>
    <xf numFmtId="0" fontId="2" fillId="42" borderId="1" xfId="0" applyFont="1" applyFill="1" applyBorder="1" applyAlignment="1">
      <alignment horizontal="center" vertical="center"/>
    </xf>
    <xf numFmtId="0" fontId="2" fillId="43" borderId="1" xfId="0" applyFont="1" applyFill="1" applyBorder="1" applyAlignment="1">
      <alignment horizontal="center" vertical="center" wrapText="1"/>
    </xf>
    <xf numFmtId="0" fontId="2" fillId="35" borderId="1" xfId="0" applyFont="1" applyFill="1" applyBorder="1" applyAlignment="1">
      <alignment horizontal="center" vertical="center" wrapText="1"/>
    </xf>
    <xf numFmtId="0" fontId="2" fillId="44" borderId="1" xfId="0" applyFont="1" applyFill="1" applyBorder="1" applyAlignment="1">
      <alignment horizontal="center" vertical="center" wrapText="1"/>
    </xf>
    <xf numFmtId="0" fontId="2" fillId="35" borderId="1" xfId="0" applyFont="1" applyFill="1" applyBorder="1" applyAlignment="1">
      <alignment horizontal="center" vertical="center"/>
    </xf>
    <xf numFmtId="0" fontId="2" fillId="45" borderId="1" xfId="0" applyFont="1" applyFill="1" applyBorder="1" applyAlignment="1">
      <alignment horizontal="center" vertical="center" wrapText="1"/>
    </xf>
    <xf numFmtId="0" fontId="2" fillId="46" borderId="1" xfId="0" applyFont="1" applyFill="1" applyBorder="1" applyAlignment="1">
      <alignment horizontal="center" vertical="center" wrapText="1"/>
    </xf>
    <xf numFmtId="0" fontId="2" fillId="33" borderId="1" xfId="0" applyFont="1" applyFill="1" applyBorder="1" applyAlignment="1">
      <alignment horizontal="center" vertical="center" wrapText="1"/>
    </xf>
    <xf numFmtId="164" fontId="2" fillId="33" borderId="1" xfId="0" applyNumberFormat="1" applyFont="1" applyFill="1" applyBorder="1" applyAlignment="1">
      <alignment horizontal="center" vertical="center" wrapText="1"/>
    </xf>
    <xf numFmtId="0" fontId="2" fillId="21" borderId="17" xfId="0" applyFont="1" applyFill="1" applyBorder="1" applyAlignment="1">
      <alignment horizontal="center" vertical="center" wrapText="1"/>
    </xf>
    <xf numFmtId="1" fontId="37" fillId="33" borderId="50" xfId="0" applyNumberFormat="1" applyFont="1" applyFill="1" applyBorder="1" applyAlignment="1">
      <alignment horizontal="center" vertical="center" wrapText="1"/>
    </xf>
    <xf numFmtId="0" fontId="50" fillId="33" borderId="50" xfId="0" applyFont="1" applyFill="1" applyBorder="1" applyAlignment="1">
      <alignment vertical="center" wrapText="1"/>
    </xf>
    <xf numFmtId="0" fontId="8" fillId="33" borderId="50" xfId="0" applyFont="1" applyFill="1" applyBorder="1" applyAlignment="1">
      <alignment vertical="center" wrapText="1"/>
    </xf>
    <xf numFmtId="0" fontId="8" fillId="33" borderId="50" xfId="0" applyFont="1" applyFill="1" applyBorder="1" applyAlignment="1">
      <alignment horizontal="center" vertical="center" wrapText="1"/>
    </xf>
    <xf numFmtId="0" fontId="9" fillId="33" borderId="50" xfId="0" applyFont="1" applyFill="1" applyBorder="1" applyAlignment="1">
      <alignment horizontal="center" vertical="center" wrapText="1"/>
    </xf>
    <xf numFmtId="0" fontId="2" fillId="33" borderId="50" xfId="0" applyFont="1" applyFill="1" applyBorder="1" applyAlignment="1">
      <alignment horizontal="center" vertical="center" wrapText="1"/>
    </xf>
    <xf numFmtId="0" fontId="10" fillId="33" borderId="50" xfId="0" applyFont="1" applyFill="1" applyBorder="1" applyAlignment="1">
      <alignment horizontal="center" vertical="center"/>
    </xf>
    <xf numFmtId="0" fontId="2" fillId="33" borderId="50" xfId="0" applyFont="1" applyFill="1" applyBorder="1" applyAlignment="1">
      <alignment horizontal="center" vertical="center"/>
    </xf>
    <xf numFmtId="1" fontId="2" fillId="33" borderId="50" xfId="0" applyNumberFormat="1" applyFont="1" applyFill="1" applyBorder="1" applyAlignment="1">
      <alignment horizontal="center" vertical="center"/>
    </xf>
    <xf numFmtId="164" fontId="2" fillId="33" borderId="50" xfId="0" applyNumberFormat="1" applyFont="1" applyFill="1" applyBorder="1" applyAlignment="1">
      <alignment horizontal="center" vertical="center" wrapText="1"/>
    </xf>
    <xf numFmtId="0" fontId="46" fillId="33" borderId="1" xfId="0" applyFont="1" applyFill="1" applyBorder="1"/>
    <xf numFmtId="0" fontId="9" fillId="2" borderId="12" xfId="0" applyFont="1" applyFill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/>
    </xf>
    <xf numFmtId="1" fontId="2" fillId="12" borderId="12" xfId="0" applyNumberFormat="1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0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right" vertical="center" wrapText="1" indent="2"/>
    </xf>
    <xf numFmtId="49" fontId="37" fillId="33" borderId="26" xfId="0" applyNumberFormat="1" applyFont="1" applyFill="1" applyBorder="1" applyAlignment="1">
      <alignment horizontal="center" vertical="center" wrapText="1"/>
    </xf>
    <xf numFmtId="0" fontId="37" fillId="33" borderId="26" xfId="0" applyFont="1" applyFill="1" applyBorder="1" applyAlignment="1">
      <alignment horizontal="center" vertical="center" wrapText="1"/>
    </xf>
    <xf numFmtId="0" fontId="14" fillId="33" borderId="26" xfId="0" applyFont="1" applyFill="1" applyBorder="1" applyAlignment="1">
      <alignment vertical="center" wrapText="1"/>
    </xf>
    <xf numFmtId="0" fontId="8" fillId="23" borderId="26" xfId="0" applyFont="1" applyFill="1" applyBorder="1" applyAlignment="1">
      <alignment vertical="center" wrapText="1"/>
    </xf>
    <xf numFmtId="0" fontId="9" fillId="36" borderId="26" xfId="0" applyFont="1" applyFill="1" applyBorder="1" applyAlignment="1">
      <alignment horizontal="center" vertical="center" wrapText="1"/>
    </xf>
    <xf numFmtId="0" fontId="2" fillId="36" borderId="26" xfId="0" applyFont="1" applyFill="1" applyBorder="1" applyAlignment="1">
      <alignment horizontal="center" vertical="center" wrapText="1"/>
    </xf>
    <xf numFmtId="0" fontId="2" fillId="37" borderId="26" xfId="0" applyFont="1" applyFill="1" applyBorder="1" applyAlignment="1">
      <alignment horizontal="center" vertical="center"/>
    </xf>
    <xf numFmtId="0" fontId="2" fillId="38" borderId="26" xfId="0" applyFont="1" applyFill="1" applyBorder="1" applyAlignment="1">
      <alignment horizontal="center" vertical="center"/>
    </xf>
    <xf numFmtId="1" fontId="2" fillId="38" borderId="26" xfId="0" applyNumberFormat="1" applyFont="1" applyFill="1" applyBorder="1" applyAlignment="1">
      <alignment horizontal="center" vertical="center"/>
    </xf>
    <xf numFmtId="0" fontId="10" fillId="39" borderId="26" xfId="0" applyFont="1" applyFill="1" applyBorder="1" applyAlignment="1">
      <alignment horizontal="center" vertical="center"/>
    </xf>
    <xf numFmtId="0" fontId="2" fillId="39" borderId="26" xfId="0" applyFont="1" applyFill="1" applyBorder="1" applyAlignment="1">
      <alignment horizontal="center" vertical="center"/>
    </xf>
    <xf numFmtId="0" fontId="2" fillId="40" borderId="26" xfId="0" applyFont="1" applyFill="1" applyBorder="1" applyAlignment="1">
      <alignment horizontal="center" vertical="center"/>
    </xf>
    <xf numFmtId="0" fontId="2" fillId="41" borderId="26" xfId="0" applyFont="1" applyFill="1" applyBorder="1" applyAlignment="1">
      <alignment horizontal="center" vertical="center"/>
    </xf>
    <xf numFmtId="0" fontId="2" fillId="42" borderId="26" xfId="0" applyFont="1" applyFill="1" applyBorder="1" applyAlignment="1">
      <alignment horizontal="center" vertical="center"/>
    </xf>
    <xf numFmtId="0" fontId="2" fillId="43" borderId="26" xfId="0" applyFont="1" applyFill="1" applyBorder="1" applyAlignment="1">
      <alignment horizontal="center" vertical="center" wrapText="1"/>
    </xf>
    <xf numFmtId="0" fontId="2" fillId="35" borderId="26" xfId="0" applyFont="1" applyFill="1" applyBorder="1" applyAlignment="1">
      <alignment horizontal="center" vertical="center" wrapText="1"/>
    </xf>
    <xf numFmtId="0" fontId="2" fillId="44" borderId="26" xfId="0" applyFont="1" applyFill="1" applyBorder="1" applyAlignment="1">
      <alignment horizontal="center" vertical="center" wrapText="1"/>
    </xf>
    <xf numFmtId="0" fontId="2" fillId="35" borderId="26" xfId="0" applyFont="1" applyFill="1" applyBorder="1" applyAlignment="1">
      <alignment horizontal="center" vertical="center"/>
    </xf>
    <xf numFmtId="0" fontId="2" fillId="45" borderId="26" xfId="0" applyFont="1" applyFill="1" applyBorder="1" applyAlignment="1">
      <alignment horizontal="center" vertical="center" wrapText="1"/>
    </xf>
    <xf numFmtId="0" fontId="2" fillId="46" borderId="26" xfId="0" applyFont="1" applyFill="1" applyBorder="1" applyAlignment="1">
      <alignment horizontal="center" vertical="center" wrapText="1"/>
    </xf>
    <xf numFmtId="0" fontId="2" fillId="33" borderId="26" xfId="0" applyFont="1" applyFill="1" applyBorder="1" applyAlignment="1">
      <alignment horizontal="center" vertical="center" wrapText="1"/>
    </xf>
    <xf numFmtId="164" fontId="2" fillId="33" borderId="26" xfId="0" applyNumberFormat="1" applyFont="1" applyFill="1" applyBorder="1" applyAlignment="1">
      <alignment horizontal="center" vertical="center" wrapText="1"/>
    </xf>
    <xf numFmtId="0" fontId="46" fillId="0" borderId="0" xfId="0" applyFont="1"/>
    <xf numFmtId="0" fontId="46" fillId="0" borderId="38" xfId="0" applyFont="1" applyBorder="1"/>
    <xf numFmtId="0" fontId="46" fillId="0" borderId="39" xfId="0" applyFont="1" applyBorder="1"/>
    <xf numFmtId="0" fontId="51" fillId="0" borderId="37" xfId="0" applyFont="1" applyBorder="1"/>
    <xf numFmtId="0" fontId="46" fillId="0" borderId="40" xfId="0" applyFont="1" applyBorder="1"/>
    <xf numFmtId="0" fontId="46" fillId="0" borderId="1" xfId="0" applyFont="1" applyBorder="1"/>
    <xf numFmtId="0" fontId="46" fillId="0" borderId="41" xfId="0" applyFont="1" applyBorder="1"/>
    <xf numFmtId="0" fontId="46" fillId="0" borderId="42" xfId="0" applyFont="1" applyBorder="1"/>
    <xf numFmtId="0" fontId="46" fillId="0" borderId="43" xfId="0" applyFont="1" applyBorder="1"/>
    <xf numFmtId="0" fontId="46" fillId="0" borderId="44" xfId="0" applyFont="1" applyBorder="1"/>
    <xf numFmtId="0" fontId="45" fillId="23" borderId="12" xfId="0" applyFont="1" applyFill="1" applyBorder="1" applyAlignment="1">
      <alignment vertical="center" wrapText="1"/>
    </xf>
    <xf numFmtId="0" fontId="39" fillId="23" borderId="12" xfId="0" applyFont="1" applyFill="1" applyBorder="1" applyAlignment="1">
      <alignment vertical="center" wrapText="1"/>
    </xf>
    <xf numFmtId="0" fontId="33" fillId="22" borderId="52" xfId="0" applyFont="1" applyFill="1" applyBorder="1" applyAlignment="1">
      <alignment horizontal="center" vertical="center"/>
    </xf>
    <xf numFmtId="0" fontId="45" fillId="23" borderId="10" xfId="0" applyFont="1" applyFill="1" applyBorder="1" applyAlignment="1">
      <alignment vertical="center" wrapText="1"/>
    </xf>
    <xf numFmtId="0" fontId="39" fillId="23" borderId="10" xfId="0" applyFont="1" applyFill="1" applyBorder="1" applyAlignment="1">
      <alignment vertical="center" wrapText="1"/>
    </xf>
    <xf numFmtId="0" fontId="40" fillId="10" borderId="10" xfId="0" applyFont="1" applyFill="1" applyBorder="1" applyAlignment="1">
      <alignment horizontal="center" vertical="center"/>
    </xf>
    <xf numFmtId="0" fontId="40" fillId="3" borderId="10" xfId="0" applyFont="1" applyFill="1" applyBorder="1" applyAlignment="1">
      <alignment horizontal="center" vertical="center" wrapText="1"/>
    </xf>
    <xf numFmtId="164" fontId="40" fillId="0" borderId="51" xfId="0" applyNumberFormat="1" applyFont="1" applyBorder="1" applyAlignment="1">
      <alignment horizontal="right" vertical="center" wrapText="1" indent="2"/>
    </xf>
    <xf numFmtId="0" fontId="33" fillId="22" borderId="31" xfId="0" applyFont="1" applyFill="1" applyBorder="1" applyAlignment="1">
      <alignment horizontal="center" vertical="center"/>
    </xf>
    <xf numFmtId="0" fontId="45" fillId="23" borderId="32" xfId="0" applyFont="1" applyFill="1" applyBorder="1" applyAlignment="1">
      <alignment vertical="center" wrapText="1"/>
    </xf>
    <xf numFmtId="0" fontId="39" fillId="23" borderId="32" xfId="0" applyFont="1" applyFill="1" applyBorder="1" applyAlignment="1">
      <alignment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9" fillId="23" borderId="12" xfId="0" applyFont="1" applyFill="1" applyBorder="1" applyAlignment="1">
      <alignment vertical="center" wrapText="1"/>
    </xf>
    <xf numFmtId="0" fontId="11" fillId="23" borderId="12" xfId="0" applyFont="1" applyFill="1" applyBorder="1" applyAlignment="1">
      <alignment vertical="center" wrapText="1"/>
    </xf>
    <xf numFmtId="0" fontId="2" fillId="12" borderId="12" xfId="0" applyFont="1" applyFill="1" applyBorder="1" applyAlignment="1">
      <alignment horizontal="center" vertical="center"/>
    </xf>
    <xf numFmtId="0" fontId="2" fillId="48" borderId="12" xfId="0" applyFont="1" applyFill="1" applyBorder="1" applyAlignment="1">
      <alignment horizontal="center" vertical="center"/>
    </xf>
    <xf numFmtId="0" fontId="2" fillId="49" borderId="12" xfId="0" applyFont="1" applyFill="1" applyBorder="1" applyAlignment="1">
      <alignment horizontal="center" vertical="center"/>
    </xf>
    <xf numFmtId="0" fontId="2" fillId="50" borderId="12" xfId="0" applyFont="1" applyFill="1" applyBorder="1" applyAlignment="1">
      <alignment horizontal="center" vertical="center"/>
    </xf>
    <xf numFmtId="0" fontId="2" fillId="24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51" xfId="0" applyNumberFormat="1" applyFont="1" applyBorder="1" applyAlignment="1">
      <alignment horizontal="right" vertical="center" wrapText="1" indent="2"/>
    </xf>
    <xf numFmtId="0" fontId="45" fillId="0" borderId="10" xfId="0" applyFont="1" applyBorder="1" applyAlignment="1">
      <alignment vertical="center" wrapText="1"/>
    </xf>
    <xf numFmtId="49" fontId="37" fillId="0" borderId="12" xfId="0" applyNumberFormat="1" applyFont="1" applyBorder="1" applyAlignment="1">
      <alignment horizontal="center" vertical="center" wrapText="1"/>
    </xf>
    <xf numFmtId="0" fontId="14" fillId="23" borderId="12" xfId="0" applyFont="1" applyFill="1" applyBorder="1" applyAlignment="1">
      <alignment vertical="center" wrapText="1"/>
    </xf>
    <xf numFmtId="0" fontId="8" fillId="23" borderId="12" xfId="0" applyFont="1" applyFill="1" applyBorder="1" applyAlignment="1">
      <alignment vertical="center" wrapText="1"/>
    </xf>
    <xf numFmtId="0" fontId="33" fillId="22" borderId="52" xfId="0" applyFont="1" applyFill="1" applyBorder="1" applyAlignment="1">
      <alignment horizontal="center" vertical="center" wrapText="1"/>
    </xf>
    <xf numFmtId="1" fontId="37" fillId="0" borderId="10" xfId="0" applyNumberFormat="1" applyFont="1" applyBorder="1" applyAlignment="1">
      <alignment horizontal="center" vertical="center" wrapText="1"/>
    </xf>
    <xf numFmtId="0" fontId="33" fillId="22" borderId="10" xfId="0" applyFont="1" applyFill="1" applyBorder="1" applyAlignment="1">
      <alignment horizontal="center" vertical="center"/>
    </xf>
    <xf numFmtId="164" fontId="40" fillId="0" borderId="10" xfId="0" applyNumberFormat="1" applyFont="1" applyBorder="1" applyAlignment="1">
      <alignment horizontal="right" vertical="center" wrapText="1" indent="2"/>
    </xf>
    <xf numFmtId="1" fontId="37" fillId="33" borderId="36" xfId="0" applyNumberFormat="1" applyFont="1" applyFill="1" applyBorder="1" applyAlignment="1">
      <alignment horizontal="center" vertical="center" wrapText="1"/>
    </xf>
    <xf numFmtId="0" fontId="50" fillId="33" borderId="36" xfId="0" applyFont="1" applyFill="1" applyBorder="1" applyAlignment="1">
      <alignment vertical="center" wrapText="1"/>
    </xf>
    <xf numFmtId="0" fontId="8" fillId="33" borderId="36" xfId="0" applyFont="1" applyFill="1" applyBorder="1" applyAlignment="1">
      <alignment vertical="center" wrapText="1"/>
    </xf>
    <xf numFmtId="0" fontId="8" fillId="33" borderId="36" xfId="0" applyFont="1" applyFill="1" applyBorder="1" applyAlignment="1">
      <alignment horizontal="center" vertical="center" wrapText="1"/>
    </xf>
    <xf numFmtId="0" fontId="9" fillId="33" borderId="36" xfId="0" applyFont="1" applyFill="1" applyBorder="1" applyAlignment="1">
      <alignment horizontal="center" vertical="center" wrapText="1"/>
    </xf>
    <xf numFmtId="0" fontId="2" fillId="33" borderId="36" xfId="0" applyFont="1" applyFill="1" applyBorder="1" applyAlignment="1">
      <alignment horizontal="center" vertical="center" wrapText="1"/>
    </xf>
    <xf numFmtId="0" fontId="10" fillId="33" borderId="36" xfId="0" applyFont="1" applyFill="1" applyBorder="1" applyAlignment="1">
      <alignment horizontal="center" vertical="center"/>
    </xf>
    <xf numFmtId="0" fontId="2" fillId="33" borderId="36" xfId="0" applyFont="1" applyFill="1" applyBorder="1" applyAlignment="1">
      <alignment horizontal="center" vertical="center"/>
    </xf>
    <xf numFmtId="1" fontId="2" fillId="33" borderId="36" xfId="0" applyNumberFormat="1" applyFont="1" applyFill="1" applyBorder="1" applyAlignment="1">
      <alignment horizontal="center" vertical="center"/>
    </xf>
    <xf numFmtId="164" fontId="2" fillId="33" borderId="36" xfId="0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47" borderId="36" xfId="0" applyNumberFormat="1" applyFont="1" applyFill="1" applyBorder="1" applyAlignment="1">
      <alignment horizontal="center" vertical="center" wrapText="1"/>
    </xf>
    <xf numFmtId="0" fontId="2" fillId="47" borderId="36" xfId="0" applyFont="1" applyFill="1" applyBorder="1" applyAlignment="1">
      <alignment horizontal="center" vertical="center" wrapText="1"/>
    </xf>
    <xf numFmtId="49" fontId="5" fillId="47" borderId="36" xfId="0" applyNumberFormat="1" applyFont="1" applyFill="1" applyBorder="1" applyAlignment="1">
      <alignment horizontal="center" vertical="center" wrapText="1"/>
    </xf>
    <xf numFmtId="49" fontId="3" fillId="47" borderId="50" xfId="0" applyNumberFormat="1" applyFont="1" applyFill="1" applyBorder="1" applyAlignment="1">
      <alignment horizontal="center" vertical="center" wrapText="1"/>
    </xf>
    <xf numFmtId="0" fontId="2" fillId="47" borderId="50" xfId="0" applyFont="1" applyFill="1" applyBorder="1" applyAlignment="1">
      <alignment horizontal="center" vertical="center" wrapText="1"/>
    </xf>
    <xf numFmtId="49" fontId="5" fillId="47" borderId="50" xfId="0" applyNumberFormat="1" applyFont="1" applyFill="1" applyBorder="1" applyAlignment="1">
      <alignment horizontal="center" vertical="center" wrapText="1"/>
    </xf>
    <xf numFmtId="1" fontId="2" fillId="47" borderId="50" xfId="0" applyNumberFormat="1" applyFont="1" applyFill="1" applyBorder="1" applyAlignment="1">
      <alignment horizontal="center" vertical="center" wrapText="1"/>
    </xf>
    <xf numFmtId="1" fontId="2" fillId="47" borderId="36" xfId="0" applyNumberFormat="1" applyFont="1" applyFill="1" applyBorder="1" applyAlignment="1">
      <alignment horizontal="center" vertical="center" wrapText="1"/>
    </xf>
    <xf numFmtId="0" fontId="52" fillId="13" borderId="10" xfId="0" applyFont="1" applyFill="1" applyBorder="1" applyAlignment="1">
      <alignment horizontal="center" vertical="center"/>
    </xf>
    <xf numFmtId="0" fontId="52" fillId="2" borderId="10" xfId="0" applyFont="1" applyFill="1" applyBorder="1" applyAlignment="1">
      <alignment horizontal="center" vertical="center" wrapText="1"/>
    </xf>
    <xf numFmtId="0" fontId="52" fillId="11" borderId="10" xfId="0" applyFont="1" applyFill="1" applyBorder="1" applyAlignment="1">
      <alignment horizontal="center" vertical="center"/>
    </xf>
    <xf numFmtId="0" fontId="52" fillId="12" borderId="10" xfId="0" applyFont="1" applyFill="1" applyBorder="1" applyAlignment="1">
      <alignment horizontal="center" vertical="center"/>
    </xf>
    <xf numFmtId="1" fontId="52" fillId="12" borderId="10" xfId="0" applyNumberFormat="1" applyFont="1" applyFill="1" applyBorder="1" applyAlignment="1">
      <alignment horizontal="center" vertical="center"/>
    </xf>
    <xf numFmtId="0" fontId="0" fillId="33" borderId="0" xfId="0" applyFill="1"/>
    <xf numFmtId="49" fontId="53" fillId="22" borderId="10" xfId="0" applyNumberFormat="1" applyFont="1" applyFill="1" applyBorder="1" applyAlignment="1" applyProtection="1">
      <alignment horizontal="center" vertical="center"/>
      <protection locked="0"/>
    </xf>
    <xf numFmtId="0" fontId="54" fillId="0" borderId="10" xfId="0" applyFont="1" applyBorder="1" applyAlignment="1" applyProtection="1">
      <alignment horizontal="center" vertical="center" wrapText="1"/>
      <protection locked="0"/>
    </xf>
    <xf numFmtId="0" fontId="55" fillId="0" borderId="10" xfId="0" applyFont="1" applyBorder="1" applyAlignment="1" applyProtection="1">
      <alignment horizontal="center" vertical="center" wrapText="1"/>
      <protection locked="0"/>
    </xf>
    <xf numFmtId="0" fontId="56" fillId="23" borderId="10" xfId="0" applyFont="1" applyFill="1" applyBorder="1" applyAlignment="1" applyProtection="1">
      <alignment vertical="center" wrapText="1"/>
      <protection locked="0"/>
    </xf>
    <xf numFmtId="0" fontId="57" fillId="23" borderId="10" xfId="0" applyFont="1" applyFill="1" applyBorder="1" applyAlignment="1" applyProtection="1">
      <alignment vertical="center" wrapText="1"/>
      <protection locked="0"/>
    </xf>
    <xf numFmtId="0" fontId="57" fillId="10" borderId="10" xfId="0" applyFont="1" applyFill="1" applyBorder="1" applyAlignment="1" applyProtection="1">
      <alignment horizontal="center" vertical="center" wrapText="1"/>
      <protection locked="0"/>
    </xf>
    <xf numFmtId="0" fontId="54" fillId="10" borderId="10" xfId="0" applyFont="1" applyFill="1" applyBorder="1" applyAlignment="1" applyProtection="1">
      <alignment horizontal="center" vertical="center" wrapText="1"/>
      <protection locked="0"/>
    </xf>
    <xf numFmtId="0" fontId="58" fillId="2" borderId="10" xfId="0" applyFont="1" applyFill="1" applyBorder="1" applyAlignment="1" applyProtection="1">
      <alignment horizontal="center" vertical="center" wrapText="1"/>
      <protection locked="0"/>
    </xf>
    <xf numFmtId="0" fontId="58" fillId="2" borderId="10" xfId="0" applyFont="1" applyFill="1" applyBorder="1" applyAlignment="1">
      <alignment horizontal="center" vertical="center" wrapText="1"/>
    </xf>
    <xf numFmtId="0" fontId="58" fillId="11" borderId="10" xfId="0" applyFont="1" applyFill="1" applyBorder="1" applyAlignment="1" applyProtection="1">
      <alignment horizontal="center" vertical="center"/>
      <protection locked="0"/>
    </xf>
    <xf numFmtId="0" fontId="58" fillId="11" borderId="10" xfId="0" applyFont="1" applyFill="1" applyBorder="1" applyAlignment="1">
      <alignment horizontal="center" vertical="center"/>
    </xf>
    <xf numFmtId="0" fontId="58" fillId="12" borderId="10" xfId="0" applyFont="1" applyFill="1" applyBorder="1" applyAlignment="1" applyProtection="1">
      <alignment horizontal="center" vertical="center"/>
      <protection locked="0"/>
    </xf>
    <xf numFmtId="1" fontId="58" fillId="12" borderId="10" xfId="0" applyNumberFormat="1" applyFont="1" applyFill="1" applyBorder="1" applyAlignment="1">
      <alignment horizontal="center" vertical="center"/>
    </xf>
    <xf numFmtId="0" fontId="58" fillId="13" borderId="10" xfId="0" applyFont="1" applyFill="1" applyBorder="1" applyAlignment="1" applyProtection="1">
      <alignment horizontal="center" vertical="center"/>
      <protection locked="0"/>
    </xf>
    <xf numFmtId="0" fontId="58" fillId="13" borderId="10" xfId="0" applyFont="1" applyFill="1" applyBorder="1" applyAlignment="1">
      <alignment horizontal="center" vertical="center"/>
    </xf>
    <xf numFmtId="0" fontId="59" fillId="14" borderId="1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/>
    </xf>
    <xf numFmtId="0" fontId="59" fillId="15" borderId="10" xfId="0" applyFont="1" applyFill="1" applyBorder="1" applyAlignment="1" applyProtection="1">
      <alignment horizontal="center" vertical="center"/>
      <protection locked="0"/>
    </xf>
    <xf numFmtId="0" fontId="59" fillId="15" borderId="10" xfId="0" applyFont="1" applyFill="1" applyBorder="1" applyAlignment="1">
      <alignment horizontal="center" vertical="center"/>
    </xf>
    <xf numFmtId="0" fontId="59" fillId="16" borderId="10" xfId="0" applyFont="1" applyFill="1" applyBorder="1" applyAlignment="1" applyProtection="1">
      <alignment horizontal="center" vertical="center"/>
      <protection locked="0"/>
    </xf>
    <xf numFmtId="0" fontId="59" fillId="16" borderId="10" xfId="0" applyFont="1" applyFill="1" applyBorder="1" applyAlignment="1">
      <alignment horizontal="center" vertical="center"/>
    </xf>
    <xf numFmtId="0" fontId="59" fillId="48" borderId="10" xfId="0" applyFont="1" applyFill="1" applyBorder="1" applyAlignment="1" applyProtection="1">
      <alignment horizontal="center" vertical="center"/>
      <protection locked="0"/>
    </xf>
    <xf numFmtId="0" fontId="59" fillId="48" borderId="10" xfId="0" applyFont="1" applyFill="1" applyBorder="1" applyAlignment="1">
      <alignment horizontal="center" vertical="center"/>
    </xf>
    <xf numFmtId="0" fontId="59" fillId="49" borderId="10" xfId="0" applyFont="1" applyFill="1" applyBorder="1" applyAlignment="1" applyProtection="1">
      <alignment horizontal="center" vertical="center"/>
      <protection locked="0"/>
    </xf>
    <xf numFmtId="0" fontId="59" fillId="49" borderId="10" xfId="0" applyFont="1" applyFill="1" applyBorder="1" applyAlignment="1">
      <alignment horizontal="center" vertical="center"/>
    </xf>
    <xf numFmtId="0" fontId="59" fillId="50" borderId="10" xfId="0" applyFont="1" applyFill="1" applyBorder="1" applyAlignment="1" applyProtection="1">
      <alignment horizontal="center" vertical="center"/>
      <protection locked="0"/>
    </xf>
    <xf numFmtId="0" fontId="59" fillId="50" borderId="10" xfId="0" applyFont="1" applyFill="1" applyBorder="1" applyAlignment="1">
      <alignment horizontal="center" vertical="center"/>
    </xf>
    <xf numFmtId="0" fontId="59" fillId="24" borderId="10" xfId="0" applyFont="1" applyFill="1" applyBorder="1" applyAlignment="1">
      <alignment horizontal="center" vertical="center" wrapText="1"/>
    </xf>
    <xf numFmtId="0" fontId="59" fillId="10" borderId="10" xfId="0" applyFont="1" applyFill="1" applyBorder="1" applyAlignment="1">
      <alignment horizontal="center" vertical="center" wrapText="1"/>
    </xf>
    <xf numFmtId="0" fontId="59" fillId="18" borderId="10" xfId="0" applyFont="1" applyFill="1" applyBorder="1" applyAlignment="1">
      <alignment horizontal="center" vertical="center" wrapText="1"/>
    </xf>
    <xf numFmtId="0" fontId="59" fillId="10" borderId="10" xfId="0" applyFont="1" applyFill="1" applyBorder="1" applyAlignment="1">
      <alignment horizontal="center" vertical="center"/>
    </xf>
    <xf numFmtId="0" fontId="59" fillId="3" borderId="10" xfId="0" applyFont="1" applyFill="1" applyBorder="1" applyAlignment="1">
      <alignment horizontal="center" vertical="center" wrapText="1"/>
    </xf>
    <xf numFmtId="0" fontId="59" fillId="8" borderId="10" xfId="0" applyFont="1" applyFill="1" applyBorder="1" applyAlignment="1">
      <alignment horizontal="center" vertical="center" wrapText="1"/>
    </xf>
    <xf numFmtId="0" fontId="59" fillId="2" borderId="10" xfId="0" applyFont="1" applyFill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164" fontId="59" fillId="0" borderId="10" xfId="0" applyNumberFormat="1" applyFont="1" applyBorder="1" applyAlignment="1">
      <alignment horizontal="right" vertical="center" wrapText="1" indent="2"/>
    </xf>
    <xf numFmtId="49" fontId="53" fillId="22" borderId="10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10" xfId="0" applyNumberFormat="1" applyFont="1" applyBorder="1" applyAlignment="1" applyProtection="1">
      <alignment horizontal="center" vertical="center" wrapText="1"/>
      <protection locked="0"/>
    </xf>
    <xf numFmtId="0" fontId="56" fillId="0" borderId="10" xfId="0" applyFont="1" applyBorder="1" applyAlignment="1" applyProtection="1">
      <alignment vertical="center" wrapText="1"/>
      <protection locked="0"/>
    </xf>
    <xf numFmtId="0" fontId="54" fillId="33" borderId="10" xfId="0" applyFont="1" applyFill="1" applyBorder="1" applyAlignment="1" applyProtection="1">
      <alignment horizontal="center" vertical="center" wrapText="1"/>
      <protection locked="0"/>
    </xf>
    <xf numFmtId="0" fontId="56" fillId="33" borderId="10" xfId="0" applyFont="1" applyFill="1" applyBorder="1" applyAlignment="1" applyProtection="1">
      <alignment vertical="center" wrapText="1"/>
      <protection locked="0"/>
    </xf>
    <xf numFmtId="49" fontId="53" fillId="22" borderId="31" xfId="0" applyNumberFormat="1" applyFont="1" applyFill="1" applyBorder="1" applyAlignment="1" applyProtection="1">
      <alignment horizontal="center" vertical="center"/>
      <protection locked="0"/>
    </xf>
    <xf numFmtId="0" fontId="54" fillId="0" borderId="32" xfId="0" applyFont="1" applyBorder="1" applyAlignment="1" applyProtection="1">
      <alignment horizontal="center" vertical="center" wrapText="1"/>
      <protection locked="0"/>
    </xf>
    <xf numFmtId="0" fontId="56" fillId="23" borderId="32" xfId="0" applyFont="1" applyFill="1" applyBorder="1" applyAlignment="1" applyProtection="1">
      <alignment vertical="center" wrapText="1"/>
      <protection locked="0"/>
    </xf>
    <xf numFmtId="0" fontId="57" fillId="23" borderId="32" xfId="0" applyFont="1" applyFill="1" applyBorder="1" applyAlignment="1" applyProtection="1">
      <alignment vertical="center" wrapText="1"/>
      <protection locked="0"/>
    </xf>
    <xf numFmtId="0" fontId="57" fillId="10" borderId="32" xfId="0" applyFont="1" applyFill="1" applyBorder="1" applyAlignment="1" applyProtection="1">
      <alignment horizontal="center" vertical="center" wrapText="1"/>
      <protection locked="0"/>
    </xf>
    <xf numFmtId="0" fontId="54" fillId="10" borderId="32" xfId="0" applyFont="1" applyFill="1" applyBorder="1" applyAlignment="1" applyProtection="1">
      <alignment horizontal="center" vertical="center" wrapText="1"/>
      <protection locked="0"/>
    </xf>
    <xf numFmtId="0" fontId="58" fillId="2" borderId="32" xfId="0" applyFont="1" applyFill="1" applyBorder="1" applyAlignment="1" applyProtection="1">
      <alignment horizontal="center" vertical="center" wrapText="1"/>
      <protection locked="0"/>
    </xf>
    <xf numFmtId="0" fontId="58" fillId="2" borderId="32" xfId="0" applyFont="1" applyFill="1" applyBorder="1" applyAlignment="1">
      <alignment horizontal="center" vertical="center" wrapText="1"/>
    </xf>
    <xf numFmtId="0" fontId="58" fillId="11" borderId="32" xfId="0" applyFont="1" applyFill="1" applyBorder="1" applyAlignment="1" applyProtection="1">
      <alignment horizontal="center" vertical="center"/>
      <protection locked="0"/>
    </xf>
    <xf numFmtId="0" fontId="58" fillId="11" borderId="32" xfId="0" applyFont="1" applyFill="1" applyBorder="1" applyAlignment="1">
      <alignment horizontal="center" vertical="center"/>
    </xf>
    <xf numFmtId="0" fontId="58" fillId="12" borderId="32" xfId="0" applyFont="1" applyFill="1" applyBorder="1" applyAlignment="1" applyProtection="1">
      <alignment horizontal="center" vertical="center"/>
      <protection locked="0"/>
    </xf>
    <xf numFmtId="1" fontId="58" fillId="12" borderId="32" xfId="0" applyNumberFormat="1" applyFont="1" applyFill="1" applyBorder="1" applyAlignment="1">
      <alignment horizontal="center" vertical="center"/>
    </xf>
    <xf numFmtId="0" fontId="58" fillId="13" borderId="32" xfId="0" applyFont="1" applyFill="1" applyBorder="1" applyAlignment="1" applyProtection="1">
      <alignment horizontal="center" vertical="center"/>
      <protection locked="0"/>
    </xf>
    <xf numFmtId="0" fontId="58" fillId="13" borderId="32" xfId="0" applyFont="1" applyFill="1" applyBorder="1" applyAlignment="1">
      <alignment horizontal="center" vertical="center"/>
    </xf>
    <xf numFmtId="0" fontId="58" fillId="14" borderId="32" xfId="0" applyFont="1" applyFill="1" applyBorder="1" applyAlignment="1" applyProtection="1">
      <alignment horizontal="center" vertical="center"/>
      <protection locked="0"/>
    </xf>
    <xf numFmtId="0" fontId="58" fillId="14" borderId="32" xfId="0" applyFont="1" applyFill="1" applyBorder="1" applyAlignment="1">
      <alignment horizontal="center" vertical="center"/>
    </xf>
    <xf numFmtId="0" fontId="58" fillId="15" borderId="32" xfId="0" applyFont="1" applyFill="1" applyBorder="1" applyAlignment="1" applyProtection="1">
      <alignment horizontal="center" vertical="center"/>
      <protection locked="0"/>
    </xf>
    <xf numFmtId="0" fontId="58" fillId="15" borderId="32" xfId="0" applyFont="1" applyFill="1" applyBorder="1" applyAlignment="1">
      <alignment horizontal="center" vertical="center"/>
    </xf>
    <xf numFmtId="0" fontId="58" fillId="16" borderId="32" xfId="0" applyFont="1" applyFill="1" applyBorder="1" applyAlignment="1" applyProtection="1">
      <alignment horizontal="center" vertical="center"/>
      <protection locked="0"/>
    </xf>
    <xf numFmtId="0" fontId="58" fillId="16" borderId="32" xfId="0" applyFont="1" applyFill="1" applyBorder="1" applyAlignment="1">
      <alignment horizontal="center" vertical="center"/>
    </xf>
    <xf numFmtId="0" fontId="58" fillId="48" borderId="32" xfId="0" applyFont="1" applyFill="1" applyBorder="1" applyAlignment="1" applyProtection="1">
      <alignment horizontal="center" vertical="center"/>
      <protection locked="0"/>
    </xf>
    <xf numFmtId="0" fontId="58" fillId="48" borderId="32" xfId="0" applyFont="1" applyFill="1" applyBorder="1" applyAlignment="1">
      <alignment horizontal="center" vertical="center"/>
    </xf>
    <xf numFmtId="0" fontId="58" fillId="49" borderId="32" xfId="0" applyFont="1" applyFill="1" applyBorder="1" applyAlignment="1" applyProtection="1">
      <alignment horizontal="center" vertical="center"/>
      <protection locked="0"/>
    </xf>
    <xf numFmtId="0" fontId="58" fillId="49" borderId="32" xfId="0" applyFont="1" applyFill="1" applyBorder="1" applyAlignment="1">
      <alignment horizontal="center" vertical="center"/>
    </xf>
    <xf numFmtId="0" fontId="58" fillId="50" borderId="32" xfId="0" applyFont="1" applyFill="1" applyBorder="1" applyAlignment="1" applyProtection="1">
      <alignment horizontal="center" vertical="center"/>
      <protection locked="0"/>
    </xf>
    <xf numFmtId="0" fontId="58" fillId="50" borderId="32" xfId="0" applyFont="1" applyFill="1" applyBorder="1" applyAlignment="1">
      <alignment horizontal="center" vertical="center"/>
    </xf>
    <xf numFmtId="0" fontId="58" fillId="24" borderId="32" xfId="0" applyFont="1" applyFill="1" applyBorder="1" applyAlignment="1">
      <alignment horizontal="center" vertical="center" wrapText="1"/>
    </xf>
    <xf numFmtId="0" fontId="58" fillId="10" borderId="32" xfId="0" applyFont="1" applyFill="1" applyBorder="1" applyAlignment="1">
      <alignment horizontal="center" vertical="center" wrapText="1"/>
    </xf>
    <xf numFmtId="0" fontId="58" fillId="18" borderId="32" xfId="0" applyFont="1" applyFill="1" applyBorder="1" applyAlignment="1">
      <alignment horizontal="center" vertical="center" wrapText="1"/>
    </xf>
    <xf numFmtId="0" fontId="58" fillId="10" borderId="32" xfId="0" applyFont="1" applyFill="1" applyBorder="1" applyAlignment="1">
      <alignment horizontal="center" vertical="center"/>
    </xf>
    <xf numFmtId="0" fontId="58" fillId="3" borderId="32" xfId="0" applyFont="1" applyFill="1" applyBorder="1" applyAlignment="1">
      <alignment horizontal="center" vertical="center" wrapText="1"/>
    </xf>
    <xf numFmtId="0" fontId="58" fillId="8" borderId="32" xfId="0" applyFont="1" applyFill="1" applyBorder="1" applyAlignment="1">
      <alignment horizontal="center" vertical="center" wrapText="1"/>
    </xf>
    <xf numFmtId="0" fontId="58" fillId="0" borderId="32" xfId="0" applyFont="1" applyBorder="1" applyAlignment="1">
      <alignment horizontal="center" vertical="center" wrapText="1"/>
    </xf>
    <xf numFmtId="164" fontId="58" fillId="0" borderId="33" xfId="0" applyNumberFormat="1" applyFont="1" applyBorder="1" applyAlignment="1">
      <alignment horizontal="right" vertical="center" wrapText="1" indent="2"/>
    </xf>
    <xf numFmtId="0" fontId="53" fillId="22" borderId="52" xfId="0" applyFont="1" applyFill="1" applyBorder="1" applyAlignment="1">
      <alignment horizontal="center" vertical="center"/>
    </xf>
    <xf numFmtId="0" fontId="54" fillId="0" borderId="10" xfId="0" applyFont="1" applyBorder="1" applyAlignment="1">
      <alignment horizontal="center" vertical="center" wrapText="1"/>
    </xf>
    <xf numFmtId="0" fontId="56" fillId="23" borderId="10" xfId="0" applyFont="1" applyFill="1" applyBorder="1" applyAlignment="1">
      <alignment vertical="center" wrapText="1"/>
    </xf>
    <xf numFmtId="0" fontId="57" fillId="23" borderId="10" xfId="0" applyFont="1" applyFill="1" applyBorder="1" applyAlignment="1">
      <alignment vertical="center" wrapText="1"/>
    </xf>
    <xf numFmtId="0" fontId="57" fillId="10" borderId="10" xfId="0" applyFont="1" applyFill="1" applyBorder="1" applyAlignment="1">
      <alignment horizontal="center" vertical="center" wrapText="1"/>
    </xf>
    <xf numFmtId="0" fontId="54" fillId="10" borderId="10" xfId="0" applyFont="1" applyFill="1" applyBorder="1" applyAlignment="1">
      <alignment horizontal="center" vertical="center" wrapText="1"/>
    </xf>
    <xf numFmtId="164" fontId="59" fillId="0" borderId="51" xfId="0" applyNumberFormat="1" applyFont="1" applyBorder="1" applyAlignment="1">
      <alignment horizontal="right" vertical="center" wrapText="1" indent="2"/>
    </xf>
    <xf numFmtId="0" fontId="53" fillId="22" borderId="52" xfId="0" applyFont="1" applyFill="1" applyBorder="1" applyAlignment="1">
      <alignment horizontal="center" vertical="center" wrapText="1"/>
    </xf>
    <xf numFmtId="0" fontId="56" fillId="0" borderId="10" xfId="0" applyFont="1" applyBorder="1" applyAlignment="1">
      <alignment vertical="center" wrapText="1"/>
    </xf>
    <xf numFmtId="0" fontId="58" fillId="14" borderId="10" xfId="0" applyFont="1" applyFill="1" applyBorder="1" applyAlignment="1">
      <alignment horizontal="center" vertical="center"/>
    </xf>
    <xf numFmtId="0" fontId="58" fillId="15" borderId="10" xfId="0" applyFont="1" applyFill="1" applyBorder="1" applyAlignment="1">
      <alignment horizontal="center" vertical="center"/>
    </xf>
    <xf numFmtId="0" fontId="58" fillId="24" borderId="10" xfId="0" applyFont="1" applyFill="1" applyBorder="1" applyAlignment="1">
      <alignment horizontal="center" vertical="center" wrapText="1"/>
    </xf>
    <xf numFmtId="0" fontId="53" fillId="22" borderId="10" xfId="0" applyFont="1" applyFill="1" applyBorder="1" applyAlignment="1">
      <alignment horizontal="center" vertical="center"/>
    </xf>
    <xf numFmtId="0" fontId="58" fillId="10" borderId="10" xfId="0" applyFont="1" applyFill="1" applyBorder="1" applyAlignment="1">
      <alignment horizontal="center" vertical="center" wrapText="1"/>
    </xf>
    <xf numFmtId="0" fontId="58" fillId="18" borderId="10" xfId="0" applyFont="1" applyFill="1" applyBorder="1" applyAlignment="1">
      <alignment horizontal="center" vertical="center" wrapText="1"/>
    </xf>
    <xf numFmtId="0" fontId="58" fillId="10" borderId="10" xfId="0" applyFont="1" applyFill="1" applyBorder="1" applyAlignment="1">
      <alignment horizontal="center" vertical="center"/>
    </xf>
    <xf numFmtId="0" fontId="58" fillId="3" borderId="10" xfId="0" applyFont="1" applyFill="1" applyBorder="1" applyAlignment="1">
      <alignment horizontal="center" vertical="center" wrapText="1"/>
    </xf>
    <xf numFmtId="0" fontId="58" fillId="8" borderId="10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164" fontId="58" fillId="0" borderId="10" xfId="0" applyNumberFormat="1" applyFont="1" applyBorder="1" applyAlignment="1">
      <alignment horizontal="right" vertical="center" wrapText="1" indent="2"/>
    </xf>
    <xf numFmtId="0" fontId="62" fillId="21" borderId="15" xfId="0" applyFont="1" applyFill="1" applyBorder="1" applyAlignment="1">
      <alignment horizontal="center" vertical="center" wrapText="1"/>
    </xf>
    <xf numFmtId="0" fontId="62" fillId="21" borderId="7" xfId="0" applyFont="1" applyFill="1" applyBorder="1" applyAlignment="1">
      <alignment horizontal="center" vertical="center" wrapText="1"/>
    </xf>
    <xf numFmtId="49" fontId="55" fillId="47" borderId="36" xfId="0" applyNumberFormat="1" applyFont="1" applyFill="1" applyBorder="1" applyAlignment="1">
      <alignment horizontal="center" vertical="center" wrapText="1"/>
    </xf>
    <xf numFmtId="0" fontId="59" fillId="47" borderId="36" xfId="0" applyFont="1" applyFill="1" applyBorder="1" applyAlignment="1">
      <alignment horizontal="center" vertical="center" wrapText="1"/>
    </xf>
    <xf numFmtId="49" fontId="63" fillId="47" borderId="36" xfId="0" applyNumberFormat="1" applyFont="1" applyFill="1" applyBorder="1" applyAlignment="1">
      <alignment horizontal="center" vertical="center" wrapText="1"/>
    </xf>
    <xf numFmtId="1" fontId="59" fillId="47" borderId="36" xfId="0" applyNumberFormat="1" applyFont="1" applyFill="1" applyBorder="1" applyAlignment="1">
      <alignment horizontal="center" vertical="center" wrapText="1"/>
    </xf>
    <xf numFmtId="0" fontId="62" fillId="21" borderId="1" xfId="0" applyFont="1" applyFill="1" applyBorder="1" applyAlignment="1">
      <alignment horizontal="center" vertical="center" wrapText="1"/>
    </xf>
    <xf numFmtId="0" fontId="62" fillId="21" borderId="27" xfId="0" applyFont="1" applyFill="1" applyBorder="1" applyAlignment="1">
      <alignment horizontal="center" vertical="center" wrapText="1"/>
    </xf>
    <xf numFmtId="0" fontId="59" fillId="21" borderId="16" xfId="0" applyFont="1" applyFill="1" applyBorder="1" applyAlignment="1">
      <alignment horizontal="center" vertical="center" wrapText="1"/>
    </xf>
    <xf numFmtId="0" fontId="59" fillId="21" borderId="11" xfId="0" applyFont="1" applyFill="1" applyBorder="1" applyAlignment="1">
      <alignment horizontal="center" vertical="center" wrapText="1"/>
    </xf>
    <xf numFmtId="49" fontId="54" fillId="22" borderId="14" xfId="0" applyNumberFormat="1" applyFont="1" applyFill="1" applyBorder="1" applyAlignment="1" applyProtection="1">
      <alignment horizontal="center" vertical="center"/>
      <protection locked="0"/>
    </xf>
    <xf numFmtId="0" fontId="54" fillId="0" borderId="12" xfId="0" applyFont="1" applyBorder="1" applyAlignment="1" applyProtection="1">
      <alignment horizontal="center" vertical="center" wrapText="1"/>
      <protection locked="0"/>
    </xf>
    <xf numFmtId="0" fontId="56" fillId="23" borderId="12" xfId="0" applyFont="1" applyFill="1" applyBorder="1" applyAlignment="1" applyProtection="1">
      <alignment vertical="center" wrapText="1"/>
      <protection locked="0"/>
    </xf>
    <xf numFmtId="0" fontId="57" fillId="23" borderId="12" xfId="0" applyFont="1" applyFill="1" applyBorder="1" applyAlignment="1" applyProtection="1">
      <alignment vertical="center" wrapText="1"/>
      <protection locked="0"/>
    </xf>
    <xf numFmtId="0" fontId="57" fillId="10" borderId="12" xfId="0" applyFont="1" applyFill="1" applyBorder="1" applyAlignment="1" applyProtection="1">
      <alignment horizontal="center" vertical="center" wrapText="1"/>
      <protection locked="0"/>
    </xf>
    <xf numFmtId="0" fontId="54" fillId="10" borderId="12" xfId="0" applyFont="1" applyFill="1" applyBorder="1" applyAlignment="1" applyProtection="1">
      <alignment horizontal="center" vertical="center" wrapText="1"/>
      <protection locked="0"/>
    </xf>
    <xf numFmtId="0" fontId="58" fillId="2" borderId="12" xfId="0" applyFont="1" applyFill="1" applyBorder="1" applyAlignment="1" applyProtection="1">
      <alignment horizontal="center" vertical="center" wrapText="1"/>
      <protection locked="0"/>
    </xf>
    <xf numFmtId="0" fontId="58" fillId="2" borderId="12" xfId="0" applyFont="1" applyFill="1" applyBorder="1" applyAlignment="1">
      <alignment horizontal="center" vertical="center" wrapText="1"/>
    </xf>
    <xf numFmtId="0" fontId="58" fillId="11" borderId="12" xfId="0" applyFont="1" applyFill="1" applyBorder="1" applyAlignment="1" applyProtection="1">
      <alignment horizontal="center" vertical="center"/>
      <protection locked="0"/>
    </xf>
    <xf numFmtId="0" fontId="58" fillId="11" borderId="12" xfId="0" applyFont="1" applyFill="1" applyBorder="1" applyAlignment="1">
      <alignment horizontal="center" vertical="center"/>
    </xf>
    <xf numFmtId="0" fontId="58" fillId="12" borderId="12" xfId="0" applyFont="1" applyFill="1" applyBorder="1" applyAlignment="1" applyProtection="1">
      <alignment horizontal="center" vertical="center"/>
      <protection locked="0"/>
    </xf>
    <xf numFmtId="1" fontId="58" fillId="12" borderId="12" xfId="0" applyNumberFormat="1" applyFont="1" applyFill="1" applyBorder="1" applyAlignment="1">
      <alignment horizontal="center" vertical="center"/>
    </xf>
    <xf numFmtId="0" fontId="58" fillId="13" borderId="12" xfId="0" applyFont="1" applyFill="1" applyBorder="1" applyAlignment="1" applyProtection="1">
      <alignment horizontal="center" vertical="center"/>
      <protection locked="0"/>
    </xf>
    <xf numFmtId="0" fontId="58" fillId="13" borderId="12" xfId="0" applyFont="1" applyFill="1" applyBorder="1" applyAlignment="1">
      <alignment horizontal="center" vertical="center"/>
    </xf>
    <xf numFmtId="0" fontId="58" fillId="14" borderId="12" xfId="0" applyFont="1" applyFill="1" applyBorder="1" applyAlignment="1" applyProtection="1">
      <alignment horizontal="center" vertical="center"/>
      <protection locked="0"/>
    </xf>
    <xf numFmtId="0" fontId="58" fillId="14" borderId="12" xfId="0" applyFont="1" applyFill="1" applyBorder="1" applyAlignment="1">
      <alignment horizontal="center" vertical="center"/>
    </xf>
    <xf numFmtId="0" fontId="58" fillId="15" borderId="12" xfId="0" applyFont="1" applyFill="1" applyBorder="1" applyAlignment="1" applyProtection="1">
      <alignment horizontal="center" vertical="center"/>
      <protection locked="0"/>
    </xf>
    <xf numFmtId="0" fontId="58" fillId="15" borderId="12" xfId="0" applyFont="1" applyFill="1" applyBorder="1" applyAlignment="1">
      <alignment horizontal="center" vertical="center"/>
    </xf>
    <xf numFmtId="0" fontId="58" fillId="16" borderId="12" xfId="0" applyFont="1" applyFill="1" applyBorder="1" applyAlignment="1" applyProtection="1">
      <alignment horizontal="center" vertical="center"/>
      <protection locked="0"/>
    </xf>
    <xf numFmtId="0" fontId="58" fillId="16" borderId="12" xfId="0" applyFont="1" applyFill="1" applyBorder="1" applyAlignment="1">
      <alignment horizontal="center" vertical="center"/>
    </xf>
    <xf numFmtId="0" fontId="58" fillId="24" borderId="12" xfId="0" applyFont="1" applyFill="1" applyBorder="1" applyAlignment="1">
      <alignment horizontal="center" vertical="center" wrapText="1"/>
    </xf>
    <xf numFmtId="0" fontId="58" fillId="10" borderId="12" xfId="0" applyFont="1" applyFill="1" applyBorder="1" applyAlignment="1">
      <alignment horizontal="center" vertical="center" wrapText="1"/>
    </xf>
    <xf numFmtId="0" fontId="58" fillId="18" borderId="12" xfId="0" applyFont="1" applyFill="1" applyBorder="1" applyAlignment="1">
      <alignment horizontal="center" vertical="center" wrapText="1"/>
    </xf>
    <xf numFmtId="0" fontId="58" fillId="10" borderId="12" xfId="0" applyFont="1" applyFill="1" applyBorder="1" applyAlignment="1">
      <alignment horizontal="center" vertical="center"/>
    </xf>
    <xf numFmtId="0" fontId="58" fillId="3" borderId="12" xfId="0" applyFont="1" applyFill="1" applyBorder="1" applyAlignment="1">
      <alignment horizontal="center" vertical="center" wrapText="1"/>
    </xf>
    <xf numFmtId="0" fontId="58" fillId="8" borderId="12" xfId="0" applyFont="1" applyFill="1" applyBorder="1" applyAlignment="1">
      <alignment horizontal="center" vertical="center" wrapText="1"/>
    </xf>
    <xf numFmtId="0" fontId="58" fillId="0" borderId="12" xfId="0" applyFont="1" applyBorder="1" applyAlignment="1">
      <alignment horizontal="center" vertical="center" wrapText="1"/>
    </xf>
    <xf numFmtId="164" fontId="58" fillId="0" borderId="13" xfId="0" applyNumberFormat="1" applyFont="1" applyBorder="1" applyAlignment="1">
      <alignment horizontal="right" vertical="center" wrapText="1" indent="2"/>
    </xf>
    <xf numFmtId="0" fontId="55" fillId="33" borderId="10" xfId="0" applyFont="1" applyFill="1" applyBorder="1" applyAlignment="1" applyProtection="1">
      <alignment horizontal="center" vertical="center" wrapText="1"/>
      <protection locked="0"/>
    </xf>
    <xf numFmtId="49" fontId="65" fillId="34" borderId="1" xfId="0" applyNumberFormat="1" applyFont="1" applyFill="1" applyBorder="1" applyAlignment="1">
      <alignment horizontal="center" vertical="center"/>
    </xf>
    <xf numFmtId="0" fontId="65" fillId="33" borderId="1" xfId="0" applyFont="1" applyFill="1" applyBorder="1" applyAlignment="1">
      <alignment horizontal="center" vertical="center" wrapText="1"/>
    </xf>
    <xf numFmtId="0" fontId="66" fillId="23" borderId="1" xfId="0" applyFont="1" applyFill="1" applyBorder="1" applyAlignment="1">
      <alignment vertical="center" wrapText="1"/>
    </xf>
    <xf numFmtId="0" fontId="67" fillId="23" borderId="1" xfId="0" applyFont="1" applyFill="1" applyBorder="1" applyAlignment="1">
      <alignment vertical="center" wrapText="1"/>
    </xf>
    <xf numFmtId="0" fontId="67" fillId="35" borderId="1" xfId="0" applyFont="1" applyFill="1" applyBorder="1" applyAlignment="1">
      <alignment horizontal="center" vertical="center" wrapText="1"/>
    </xf>
    <xf numFmtId="0" fontId="65" fillId="35" borderId="1" xfId="0" applyFont="1" applyFill="1" applyBorder="1" applyAlignment="1">
      <alignment horizontal="center" vertical="center" wrapText="1"/>
    </xf>
    <xf numFmtId="0" fontId="68" fillId="36" borderId="1" xfId="0" applyFont="1" applyFill="1" applyBorder="1" applyAlignment="1">
      <alignment horizontal="center" vertical="center" wrapText="1"/>
    </xf>
    <xf numFmtId="0" fontId="69" fillId="36" borderId="1" xfId="0" applyFont="1" applyFill="1" applyBorder="1" applyAlignment="1">
      <alignment horizontal="center" vertical="center" wrapText="1"/>
    </xf>
    <xf numFmtId="0" fontId="68" fillId="37" borderId="1" xfId="0" applyFont="1" applyFill="1" applyBorder="1" applyAlignment="1">
      <alignment horizontal="center" vertical="center"/>
    </xf>
    <xf numFmtId="0" fontId="59" fillId="37" borderId="1" xfId="0" applyFont="1" applyFill="1" applyBorder="1" applyAlignment="1">
      <alignment horizontal="center" vertical="center"/>
    </xf>
    <xf numFmtId="0" fontId="68" fillId="38" borderId="1" xfId="0" applyFont="1" applyFill="1" applyBorder="1" applyAlignment="1">
      <alignment horizontal="center" vertical="center"/>
    </xf>
    <xf numFmtId="1" fontId="59" fillId="38" borderId="1" xfId="0" applyNumberFormat="1" applyFont="1" applyFill="1" applyBorder="1" applyAlignment="1">
      <alignment horizontal="center" vertical="center"/>
    </xf>
    <xf numFmtId="0" fontId="68" fillId="39" borderId="1" xfId="0" applyFont="1" applyFill="1" applyBorder="1" applyAlignment="1">
      <alignment horizontal="center" vertical="center"/>
    </xf>
    <xf numFmtId="0" fontId="59" fillId="39" borderId="1" xfId="0" applyFont="1" applyFill="1" applyBorder="1" applyAlignment="1">
      <alignment horizontal="center" vertical="center"/>
    </xf>
    <xf numFmtId="0" fontId="68" fillId="40" borderId="1" xfId="0" applyFont="1" applyFill="1" applyBorder="1" applyAlignment="1">
      <alignment horizontal="center" vertical="center"/>
    </xf>
    <xf numFmtId="0" fontId="68" fillId="41" borderId="1" xfId="0" applyFont="1" applyFill="1" applyBorder="1" applyAlignment="1">
      <alignment horizontal="center" vertical="center"/>
    </xf>
    <xf numFmtId="0" fontId="68" fillId="42" borderId="1" xfId="0" applyFont="1" applyFill="1" applyBorder="1" applyAlignment="1">
      <alignment horizontal="center" vertical="center"/>
    </xf>
    <xf numFmtId="0" fontId="68" fillId="43" borderId="1" xfId="0" applyFont="1" applyFill="1" applyBorder="1" applyAlignment="1">
      <alignment horizontal="center" vertical="center" wrapText="1"/>
    </xf>
    <xf numFmtId="0" fontId="68" fillId="35" borderId="1" xfId="0" applyFont="1" applyFill="1" applyBorder="1" applyAlignment="1">
      <alignment horizontal="center" vertical="center" wrapText="1"/>
    </xf>
    <xf numFmtId="0" fontId="68" fillId="44" borderId="1" xfId="0" applyFont="1" applyFill="1" applyBorder="1" applyAlignment="1">
      <alignment horizontal="center" vertical="center" wrapText="1"/>
    </xf>
    <xf numFmtId="0" fontId="68" fillId="35" borderId="1" xfId="0" applyFont="1" applyFill="1" applyBorder="1" applyAlignment="1">
      <alignment horizontal="center" vertical="center"/>
    </xf>
    <xf numFmtId="0" fontId="68" fillId="45" borderId="1" xfId="0" applyFont="1" applyFill="1" applyBorder="1" applyAlignment="1">
      <alignment horizontal="center" vertical="center" wrapText="1"/>
    </xf>
    <xf numFmtId="0" fontId="68" fillId="46" borderId="1" xfId="0" applyFont="1" applyFill="1" applyBorder="1" applyAlignment="1">
      <alignment horizontal="center" vertical="center" wrapText="1"/>
    </xf>
    <xf numFmtId="0" fontId="68" fillId="33" borderId="1" xfId="0" applyFont="1" applyFill="1" applyBorder="1" applyAlignment="1">
      <alignment horizontal="center" vertical="center" wrapText="1"/>
    </xf>
    <xf numFmtId="164" fontId="68" fillId="33" borderId="1" xfId="0" applyNumberFormat="1" applyFont="1" applyFill="1" applyBorder="1" applyAlignment="1">
      <alignment horizontal="center" vertical="center" wrapText="1"/>
    </xf>
    <xf numFmtId="0" fontId="59" fillId="33" borderId="0" xfId="0" applyFont="1" applyFill="1"/>
    <xf numFmtId="0" fontId="70" fillId="33" borderId="0" xfId="0" applyFont="1" applyFill="1"/>
    <xf numFmtId="49" fontId="60" fillId="21" borderId="15" xfId="0" applyNumberFormat="1" applyFont="1" applyFill="1" applyBorder="1" applyAlignment="1">
      <alignment horizontal="center" vertical="center" wrapText="1"/>
    </xf>
    <xf numFmtId="49" fontId="62" fillId="21" borderId="15" xfId="0" applyNumberFormat="1" applyFont="1" applyFill="1" applyBorder="1" applyAlignment="1">
      <alignment horizontal="center" vertical="center" wrapText="1"/>
    </xf>
    <xf numFmtId="49" fontId="62" fillId="21" borderId="7" xfId="0" applyNumberFormat="1" applyFont="1" applyFill="1" applyBorder="1" applyAlignment="1">
      <alignment horizontal="center" vertical="center" wrapText="1"/>
    </xf>
    <xf numFmtId="49" fontId="53" fillId="22" borderId="27" xfId="0" applyNumberFormat="1" applyFont="1" applyFill="1" applyBorder="1" applyAlignment="1" applyProtection="1">
      <alignment horizontal="center" vertical="center"/>
      <protection locked="0"/>
    </xf>
    <xf numFmtId="0" fontId="54" fillId="0" borderId="30" xfId="0" applyFont="1" applyBorder="1" applyAlignment="1" applyProtection="1">
      <alignment horizontal="center" vertical="center" wrapText="1"/>
      <protection locked="0"/>
    </xf>
    <xf numFmtId="0" fontId="55" fillId="0" borderId="30" xfId="0" applyFont="1" applyBorder="1" applyAlignment="1" applyProtection="1">
      <alignment horizontal="center" vertical="center" wrapText="1"/>
      <protection locked="0"/>
    </xf>
    <xf numFmtId="0" fontId="71" fillId="23" borderId="30" xfId="0" applyFont="1" applyFill="1" applyBorder="1" applyAlignment="1" applyProtection="1">
      <alignment vertical="center" wrapText="1"/>
      <protection locked="0"/>
    </xf>
    <xf numFmtId="0" fontId="72" fillId="23" borderId="30" xfId="0" applyFont="1" applyFill="1" applyBorder="1" applyAlignment="1" applyProtection="1">
      <alignment vertical="center" wrapText="1"/>
      <protection locked="0"/>
    </xf>
    <xf numFmtId="0" fontId="73" fillId="10" borderId="30" xfId="0" applyFont="1" applyFill="1" applyBorder="1" applyAlignment="1" applyProtection="1">
      <alignment horizontal="center" vertical="center" wrapText="1"/>
      <protection locked="0"/>
    </xf>
    <xf numFmtId="0" fontId="55" fillId="10" borderId="30" xfId="0" applyFont="1" applyFill="1" applyBorder="1" applyAlignment="1" applyProtection="1">
      <alignment horizontal="center" vertical="center" wrapText="1"/>
      <protection locked="0"/>
    </xf>
    <xf numFmtId="0" fontId="69" fillId="2" borderId="30" xfId="0" applyFont="1" applyFill="1" applyBorder="1" applyAlignment="1" applyProtection="1">
      <alignment horizontal="center" vertical="center" wrapText="1"/>
      <protection locked="0"/>
    </xf>
    <xf numFmtId="0" fontId="69" fillId="2" borderId="30" xfId="0" applyFont="1" applyFill="1" applyBorder="1" applyAlignment="1">
      <alignment horizontal="center" vertical="center" wrapText="1"/>
    </xf>
    <xf numFmtId="0" fontId="59" fillId="2" borderId="30" xfId="0" applyFont="1" applyFill="1" applyBorder="1" applyAlignment="1" applyProtection="1">
      <alignment horizontal="center" vertical="center" wrapText="1"/>
      <protection locked="0"/>
    </xf>
    <xf numFmtId="0" fontId="59" fillId="11" borderId="30" xfId="0" applyFont="1" applyFill="1" applyBorder="1" applyAlignment="1" applyProtection="1">
      <alignment horizontal="center" vertical="center"/>
      <protection locked="0"/>
    </xf>
    <xf numFmtId="0" fontId="59" fillId="11" borderId="30" xfId="0" applyFont="1" applyFill="1" applyBorder="1" applyAlignment="1">
      <alignment horizontal="center" vertical="center"/>
    </xf>
    <xf numFmtId="0" fontId="59" fillId="12" borderId="30" xfId="0" applyFont="1" applyFill="1" applyBorder="1" applyAlignment="1" applyProtection="1">
      <alignment horizontal="center" vertical="center"/>
      <protection locked="0"/>
    </xf>
    <xf numFmtId="1" fontId="59" fillId="12" borderId="30" xfId="0" applyNumberFormat="1" applyFont="1" applyFill="1" applyBorder="1" applyAlignment="1">
      <alignment horizontal="center" vertical="center"/>
    </xf>
    <xf numFmtId="0" fontId="59" fillId="13" borderId="30" xfId="0" applyFont="1" applyFill="1" applyBorder="1" applyAlignment="1" applyProtection="1">
      <alignment horizontal="center" vertical="center"/>
      <protection locked="0"/>
    </xf>
    <xf numFmtId="0" fontId="59" fillId="13" borderId="30" xfId="0" applyFont="1" applyFill="1" applyBorder="1" applyAlignment="1">
      <alignment horizontal="center" vertical="center"/>
    </xf>
    <xf numFmtId="0" fontId="59" fillId="14" borderId="30" xfId="0" applyFont="1" applyFill="1" applyBorder="1" applyAlignment="1" applyProtection="1">
      <alignment horizontal="center" vertical="center"/>
      <protection locked="0"/>
    </xf>
    <xf numFmtId="0" fontId="59" fillId="14" borderId="30" xfId="0" applyFont="1" applyFill="1" applyBorder="1" applyAlignment="1">
      <alignment horizontal="center" vertical="center"/>
    </xf>
    <xf numFmtId="0" fontId="59" fillId="15" borderId="30" xfId="0" applyFont="1" applyFill="1" applyBorder="1" applyAlignment="1" applyProtection="1">
      <alignment horizontal="center" vertical="center"/>
      <protection locked="0"/>
    </xf>
    <xf numFmtId="0" fontId="59" fillId="15" borderId="30" xfId="0" applyFont="1" applyFill="1" applyBorder="1" applyAlignment="1">
      <alignment horizontal="center" vertical="center"/>
    </xf>
    <xf numFmtId="0" fontId="59" fillId="16" borderId="30" xfId="0" applyFont="1" applyFill="1" applyBorder="1" applyAlignment="1" applyProtection="1">
      <alignment horizontal="center" vertical="center"/>
      <protection locked="0"/>
    </xf>
    <xf numFmtId="0" fontId="59" fillId="16" borderId="30" xfId="0" applyFont="1" applyFill="1" applyBorder="1" applyAlignment="1">
      <alignment horizontal="center" vertical="center"/>
    </xf>
    <xf numFmtId="0" fontId="59" fillId="48" borderId="30" xfId="0" applyFont="1" applyFill="1" applyBorder="1" applyAlignment="1" applyProtection="1">
      <alignment horizontal="center" vertical="center"/>
      <protection locked="0"/>
    </xf>
    <xf numFmtId="0" fontId="59" fillId="49" borderId="30" xfId="0" applyFont="1" applyFill="1" applyBorder="1" applyAlignment="1" applyProtection="1">
      <alignment horizontal="center" vertical="center"/>
      <protection locked="0"/>
    </xf>
    <xf numFmtId="0" fontId="59" fillId="50" borderId="30" xfId="0" applyFont="1" applyFill="1" applyBorder="1" applyAlignment="1" applyProtection="1">
      <alignment horizontal="center" vertical="center"/>
      <protection locked="0"/>
    </xf>
    <xf numFmtId="0" fontId="59" fillId="24" borderId="30" xfId="0" applyFont="1" applyFill="1" applyBorder="1" applyAlignment="1">
      <alignment horizontal="center" vertical="center" wrapText="1"/>
    </xf>
    <xf numFmtId="0" fontId="59" fillId="10" borderId="30" xfId="0" applyFont="1" applyFill="1" applyBorder="1" applyAlignment="1">
      <alignment horizontal="center" vertical="center" wrapText="1"/>
    </xf>
    <xf numFmtId="0" fontId="59" fillId="18" borderId="30" xfId="0" applyFont="1" applyFill="1" applyBorder="1" applyAlignment="1">
      <alignment horizontal="center" vertical="center" wrapText="1"/>
    </xf>
    <xf numFmtId="0" fontId="59" fillId="10" borderId="30" xfId="0" applyFont="1" applyFill="1" applyBorder="1" applyAlignment="1">
      <alignment horizontal="center" vertical="center"/>
    </xf>
    <xf numFmtId="0" fontId="59" fillId="3" borderId="30" xfId="0" applyFont="1" applyFill="1" applyBorder="1" applyAlignment="1">
      <alignment horizontal="center" vertical="center" wrapText="1"/>
    </xf>
    <xf numFmtId="0" fontId="59" fillId="8" borderId="30" xfId="0" applyFont="1" applyFill="1" applyBorder="1" applyAlignment="1">
      <alignment horizontal="center" vertical="center" wrapText="1"/>
    </xf>
    <xf numFmtId="0" fontId="59" fillId="2" borderId="30" xfId="0" applyFont="1" applyFill="1" applyBorder="1" applyAlignment="1">
      <alignment horizontal="center" vertical="center" wrapText="1"/>
    </xf>
    <xf numFmtId="0" fontId="59" fillId="0" borderId="30" xfId="0" applyFont="1" applyBorder="1" applyAlignment="1">
      <alignment horizontal="center" vertical="center" wrapText="1"/>
    </xf>
    <xf numFmtId="164" fontId="59" fillId="0" borderId="29" xfId="0" applyNumberFormat="1" applyFont="1" applyBorder="1" applyAlignment="1">
      <alignment horizontal="right" vertical="center" wrapText="1" indent="2"/>
    </xf>
    <xf numFmtId="49" fontId="53" fillId="34" borderId="1" xfId="0" applyNumberFormat="1" applyFont="1" applyFill="1" applyBorder="1" applyAlignment="1">
      <alignment horizontal="center" vertical="center"/>
    </xf>
    <xf numFmtId="0" fontId="54" fillId="33" borderId="1" xfId="0" applyFont="1" applyFill="1" applyBorder="1" applyAlignment="1">
      <alignment horizontal="center" vertical="center" wrapText="1"/>
    </xf>
    <xf numFmtId="0" fontId="55" fillId="33" borderId="1" xfId="0" applyFont="1" applyFill="1" applyBorder="1" applyAlignment="1">
      <alignment horizontal="center" vertical="center" wrapText="1"/>
    </xf>
    <xf numFmtId="0" fontId="74" fillId="23" borderId="1" xfId="0" applyFont="1" applyFill="1" applyBorder="1" applyAlignment="1">
      <alignment vertical="center" wrapText="1"/>
    </xf>
    <xf numFmtId="0" fontId="73" fillId="23" borderId="1" xfId="0" applyFont="1" applyFill="1" applyBorder="1" applyAlignment="1">
      <alignment vertical="center" wrapText="1"/>
    </xf>
    <xf numFmtId="0" fontId="73" fillId="35" borderId="1" xfId="0" applyFont="1" applyFill="1" applyBorder="1" applyAlignment="1">
      <alignment horizontal="center" vertical="center" wrapText="1"/>
    </xf>
    <xf numFmtId="0" fontId="55" fillId="35" borderId="1" xfId="0" applyFont="1" applyFill="1" applyBorder="1" applyAlignment="1">
      <alignment horizontal="center" vertical="center" wrapText="1"/>
    </xf>
    <xf numFmtId="0" fontId="59" fillId="36" borderId="1" xfId="0" applyFont="1" applyFill="1" applyBorder="1" applyAlignment="1">
      <alignment horizontal="center" vertical="center" wrapText="1"/>
    </xf>
    <xf numFmtId="0" fontId="59" fillId="38" borderId="1" xfId="0" applyFont="1" applyFill="1" applyBorder="1" applyAlignment="1">
      <alignment horizontal="center" vertical="center"/>
    </xf>
    <xf numFmtId="0" fontId="59" fillId="40" borderId="1" xfId="0" applyFont="1" applyFill="1" applyBorder="1" applyAlignment="1">
      <alignment horizontal="center" vertical="center"/>
    </xf>
    <xf numFmtId="0" fontId="59" fillId="41" borderId="1" xfId="0" applyFont="1" applyFill="1" applyBorder="1" applyAlignment="1">
      <alignment horizontal="center" vertical="center"/>
    </xf>
    <xf numFmtId="0" fontId="59" fillId="42" borderId="1" xfId="0" applyFont="1" applyFill="1" applyBorder="1" applyAlignment="1">
      <alignment horizontal="center" vertical="center"/>
    </xf>
    <xf numFmtId="0" fontId="59" fillId="43" borderId="1" xfId="0" applyFont="1" applyFill="1" applyBorder="1" applyAlignment="1">
      <alignment horizontal="center" vertical="center" wrapText="1"/>
    </xf>
    <xf numFmtId="0" fontId="59" fillId="35" borderId="1" xfId="0" applyFont="1" applyFill="1" applyBorder="1" applyAlignment="1">
      <alignment horizontal="center" vertical="center" wrapText="1"/>
    </xf>
    <xf numFmtId="0" fontId="59" fillId="44" borderId="1" xfId="0" applyFont="1" applyFill="1" applyBorder="1" applyAlignment="1">
      <alignment horizontal="center" vertical="center" wrapText="1"/>
    </xf>
    <xf numFmtId="0" fontId="59" fillId="35" borderId="1" xfId="0" applyFont="1" applyFill="1" applyBorder="1" applyAlignment="1">
      <alignment horizontal="center" vertical="center"/>
    </xf>
    <xf numFmtId="0" fontId="59" fillId="45" borderId="1" xfId="0" applyFont="1" applyFill="1" applyBorder="1" applyAlignment="1">
      <alignment horizontal="center" vertical="center" wrapText="1"/>
    </xf>
    <xf numFmtId="0" fontId="59" fillId="46" borderId="1" xfId="0" applyFont="1" applyFill="1" applyBorder="1" applyAlignment="1">
      <alignment horizontal="center" vertical="center" wrapText="1"/>
    </xf>
    <xf numFmtId="0" fontId="59" fillId="33" borderId="1" xfId="0" applyFont="1" applyFill="1" applyBorder="1" applyAlignment="1">
      <alignment horizontal="center" vertical="center" wrapText="1"/>
    </xf>
    <xf numFmtId="164" fontId="59" fillId="33" borderId="1" xfId="0" applyNumberFormat="1" applyFont="1" applyFill="1" applyBorder="1" applyAlignment="1">
      <alignment horizontal="center" vertical="center" wrapText="1"/>
    </xf>
    <xf numFmtId="0" fontId="59" fillId="21" borderId="17" xfId="0" applyFont="1" applyFill="1" applyBorder="1" applyAlignment="1">
      <alignment horizontal="center" vertical="center" wrapText="1"/>
    </xf>
    <xf numFmtId="49" fontId="53" fillId="22" borderId="27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30" xfId="0" applyNumberFormat="1" applyFont="1" applyBorder="1" applyAlignment="1" applyProtection="1">
      <alignment horizontal="center" vertical="center" wrapText="1"/>
      <protection locked="0"/>
    </xf>
    <xf numFmtId="0" fontId="74" fillId="23" borderId="30" xfId="0" applyFont="1" applyFill="1" applyBorder="1" applyAlignment="1" applyProtection="1">
      <alignment vertical="center" wrapText="1"/>
      <protection locked="0"/>
    </xf>
    <xf numFmtId="0" fontId="73" fillId="23" borderId="30" xfId="0" applyFont="1" applyFill="1" applyBorder="1" applyAlignment="1" applyProtection="1">
      <alignment vertical="center" wrapText="1"/>
      <protection locked="0"/>
    </xf>
    <xf numFmtId="1" fontId="54" fillId="0" borderId="10" xfId="0" applyNumberFormat="1" applyFont="1" applyBorder="1" applyAlignment="1" applyProtection="1">
      <alignment horizontal="center" vertical="center" wrapText="1"/>
      <protection locked="0"/>
    </xf>
    <xf numFmtId="49" fontId="53" fillId="33" borderId="50" xfId="0" applyNumberFormat="1" applyFont="1" applyFill="1" applyBorder="1" applyAlignment="1">
      <alignment horizontal="center" vertical="center" wrapText="1"/>
    </xf>
    <xf numFmtId="1" fontId="54" fillId="33" borderId="50" xfId="0" applyNumberFormat="1" applyFont="1" applyFill="1" applyBorder="1" applyAlignment="1">
      <alignment horizontal="center" vertical="center" wrapText="1"/>
    </xf>
    <xf numFmtId="0" fontId="55" fillId="33" borderId="50" xfId="0" applyFont="1" applyFill="1" applyBorder="1" applyAlignment="1">
      <alignment horizontal="center" vertical="center" wrapText="1"/>
    </xf>
    <xf numFmtId="0" fontId="75" fillId="33" borderId="50" xfId="0" applyFont="1" applyFill="1" applyBorder="1" applyAlignment="1">
      <alignment vertical="center" wrapText="1"/>
    </xf>
    <xf numFmtId="0" fontId="73" fillId="33" borderId="50" xfId="0" applyFont="1" applyFill="1" applyBorder="1" applyAlignment="1">
      <alignment vertical="center" wrapText="1"/>
    </xf>
    <xf numFmtId="0" fontId="73" fillId="33" borderId="50" xfId="0" applyFont="1" applyFill="1" applyBorder="1" applyAlignment="1">
      <alignment horizontal="center" vertical="center" wrapText="1"/>
    </xf>
    <xf numFmtId="0" fontId="69" fillId="33" borderId="50" xfId="0" applyFont="1" applyFill="1" applyBorder="1" applyAlignment="1">
      <alignment horizontal="center" vertical="center" wrapText="1"/>
    </xf>
    <xf numFmtId="0" fontId="59" fillId="33" borderId="50" xfId="0" applyFont="1" applyFill="1" applyBorder="1" applyAlignment="1">
      <alignment horizontal="center" vertical="center" wrapText="1"/>
    </xf>
    <xf numFmtId="0" fontId="61" fillId="33" borderId="50" xfId="0" applyFont="1" applyFill="1" applyBorder="1" applyAlignment="1">
      <alignment horizontal="center" vertical="center"/>
    </xf>
    <xf numFmtId="0" fontId="59" fillId="33" borderId="50" xfId="0" applyFont="1" applyFill="1" applyBorder="1" applyAlignment="1">
      <alignment horizontal="center" vertical="center"/>
    </xf>
    <xf numFmtId="1" fontId="59" fillId="33" borderId="50" xfId="0" applyNumberFormat="1" applyFont="1" applyFill="1" applyBorder="1" applyAlignment="1">
      <alignment horizontal="center" vertical="center"/>
    </xf>
    <xf numFmtId="164" fontId="59" fillId="33" borderId="50" xfId="0" applyNumberFormat="1" applyFont="1" applyFill="1" applyBorder="1" applyAlignment="1">
      <alignment horizontal="center" vertical="center" wrapText="1"/>
    </xf>
    <xf numFmtId="0" fontId="59" fillId="33" borderId="50" xfId="0" applyFont="1" applyFill="1" applyBorder="1"/>
    <xf numFmtId="0" fontId="70" fillId="33" borderId="50" xfId="0" applyFont="1" applyFill="1" applyBorder="1"/>
    <xf numFmtId="49" fontId="53" fillId="33" borderId="1" xfId="0" applyNumberFormat="1" applyFont="1" applyFill="1" applyBorder="1" applyAlignment="1">
      <alignment horizontal="center" vertical="center" wrapText="1"/>
    </xf>
    <xf numFmtId="1" fontId="54" fillId="33" borderId="1" xfId="0" applyNumberFormat="1" applyFont="1" applyFill="1" applyBorder="1" applyAlignment="1">
      <alignment horizontal="center" vertical="center" wrapText="1"/>
    </xf>
    <xf numFmtId="0" fontId="75" fillId="33" borderId="1" xfId="0" applyFont="1" applyFill="1" applyBorder="1" applyAlignment="1">
      <alignment vertical="center" wrapText="1"/>
    </xf>
    <xf numFmtId="0" fontId="73" fillId="33" borderId="1" xfId="0" applyFont="1" applyFill="1" applyBorder="1" applyAlignment="1">
      <alignment vertical="center" wrapText="1"/>
    </xf>
    <xf numFmtId="0" fontId="73" fillId="33" borderId="1" xfId="0" applyFont="1" applyFill="1" applyBorder="1" applyAlignment="1">
      <alignment horizontal="center" vertical="center" wrapText="1"/>
    </xf>
    <xf numFmtId="0" fontId="69" fillId="33" borderId="1" xfId="0" applyFont="1" applyFill="1" applyBorder="1" applyAlignment="1">
      <alignment horizontal="center" vertical="center" wrapText="1"/>
    </xf>
    <xf numFmtId="0" fontId="61" fillId="33" borderId="1" xfId="0" applyFont="1" applyFill="1" applyBorder="1" applyAlignment="1">
      <alignment horizontal="center" vertical="center"/>
    </xf>
    <xf numFmtId="0" fontId="59" fillId="33" borderId="1" xfId="0" applyFont="1" applyFill="1" applyBorder="1" applyAlignment="1">
      <alignment horizontal="center" vertical="center"/>
    </xf>
    <xf numFmtId="1" fontId="59" fillId="33" borderId="1" xfId="0" applyNumberFormat="1" applyFont="1" applyFill="1" applyBorder="1" applyAlignment="1">
      <alignment horizontal="center" vertical="center"/>
    </xf>
    <xf numFmtId="0" fontId="59" fillId="33" borderId="1" xfId="0" applyFont="1" applyFill="1" applyBorder="1"/>
    <xf numFmtId="0" fontId="70" fillId="33" borderId="1" xfId="0" applyFont="1" applyFill="1" applyBorder="1"/>
    <xf numFmtId="49" fontId="53" fillId="22" borderId="14" xfId="0" applyNumberFormat="1" applyFont="1" applyFill="1" applyBorder="1" applyAlignment="1" applyProtection="1">
      <alignment horizontal="center" vertical="center" wrapText="1"/>
      <protection locked="0"/>
    </xf>
    <xf numFmtId="49" fontId="54" fillId="0" borderId="12" xfId="0" applyNumberFormat="1" applyFont="1" applyBorder="1" applyAlignment="1" applyProtection="1">
      <alignment horizontal="center" vertical="center" wrapText="1"/>
      <protection locked="0"/>
    </xf>
    <xf numFmtId="0" fontId="54" fillId="0" borderId="13" xfId="0" applyFont="1" applyBorder="1" applyAlignment="1" applyProtection="1">
      <alignment horizontal="center" vertical="center" wrapText="1"/>
      <protection locked="0"/>
    </xf>
    <xf numFmtId="0" fontId="55" fillId="0" borderId="13" xfId="0" applyFont="1" applyBorder="1" applyAlignment="1" applyProtection="1">
      <alignment horizontal="center" vertical="center" wrapText="1"/>
      <protection locked="0"/>
    </xf>
    <xf numFmtId="0" fontId="74" fillId="0" borderId="12" xfId="0" applyFont="1" applyBorder="1" applyAlignment="1" applyProtection="1">
      <alignment vertical="center" wrapText="1"/>
      <protection locked="0"/>
    </xf>
    <xf numFmtId="0" fontId="73" fillId="23" borderId="14" xfId="0" applyFont="1" applyFill="1" applyBorder="1" applyAlignment="1" applyProtection="1">
      <alignment vertical="center" wrapText="1"/>
      <protection locked="0"/>
    </xf>
    <xf numFmtId="0" fontId="73" fillId="10" borderId="12" xfId="0" applyFont="1" applyFill="1" applyBorder="1" applyAlignment="1" applyProtection="1">
      <alignment horizontal="center" vertical="center" wrapText="1"/>
      <protection locked="0"/>
    </xf>
    <xf numFmtId="0" fontId="55" fillId="10" borderId="12" xfId="0" applyFont="1" applyFill="1" applyBorder="1" applyAlignment="1" applyProtection="1">
      <alignment horizontal="center" vertical="center" wrapText="1"/>
      <protection locked="0"/>
    </xf>
    <xf numFmtId="0" fontId="69" fillId="2" borderId="12" xfId="0" applyFont="1" applyFill="1" applyBorder="1" applyAlignment="1" applyProtection="1">
      <alignment horizontal="center" vertical="center" wrapText="1"/>
      <protection locked="0"/>
    </xf>
    <xf numFmtId="0" fontId="69" fillId="2" borderId="12" xfId="0" applyFont="1" applyFill="1" applyBorder="1" applyAlignment="1">
      <alignment horizontal="center" vertical="center" wrapText="1"/>
    </xf>
    <xf numFmtId="0" fontId="59" fillId="2" borderId="12" xfId="0" applyFont="1" applyFill="1" applyBorder="1" applyAlignment="1" applyProtection="1">
      <alignment horizontal="center" vertical="center" wrapText="1"/>
      <protection locked="0"/>
    </xf>
    <xf numFmtId="0" fontId="59" fillId="11" borderId="12" xfId="0" applyFont="1" applyFill="1" applyBorder="1" applyAlignment="1" applyProtection="1">
      <alignment horizontal="center" vertical="center"/>
      <protection locked="0"/>
    </xf>
    <xf numFmtId="0" fontId="59" fillId="11" borderId="12" xfId="0" applyFont="1" applyFill="1" applyBorder="1" applyAlignment="1">
      <alignment horizontal="center" vertical="center"/>
    </xf>
    <xf numFmtId="0" fontId="59" fillId="12" borderId="12" xfId="0" applyFont="1" applyFill="1" applyBorder="1" applyAlignment="1" applyProtection="1">
      <alignment horizontal="center" vertical="center"/>
      <protection locked="0"/>
    </xf>
    <xf numFmtId="1" fontId="59" fillId="12" borderId="12" xfId="0" applyNumberFormat="1" applyFont="1" applyFill="1" applyBorder="1" applyAlignment="1">
      <alignment horizontal="center" vertical="center"/>
    </xf>
    <xf numFmtId="0" fontId="59" fillId="13" borderId="12" xfId="0" applyFont="1" applyFill="1" applyBorder="1" applyAlignment="1" applyProtection="1">
      <alignment horizontal="center" vertical="center"/>
      <protection locked="0"/>
    </xf>
    <xf numFmtId="0" fontId="59" fillId="13" borderId="12" xfId="0" applyFont="1" applyFill="1" applyBorder="1" applyAlignment="1">
      <alignment horizontal="center" vertical="center"/>
    </xf>
    <xf numFmtId="0" fontId="59" fillId="14" borderId="12" xfId="0" applyFont="1" applyFill="1" applyBorder="1" applyAlignment="1" applyProtection="1">
      <alignment horizontal="center" vertical="center"/>
      <protection locked="0"/>
    </xf>
    <xf numFmtId="0" fontId="59" fillId="14" borderId="12" xfId="0" applyFont="1" applyFill="1" applyBorder="1" applyAlignment="1">
      <alignment horizontal="center" vertical="center"/>
    </xf>
    <xf numFmtId="0" fontId="59" fillId="15" borderId="12" xfId="0" applyFont="1" applyFill="1" applyBorder="1" applyAlignment="1" applyProtection="1">
      <alignment horizontal="center" vertical="center"/>
      <protection locked="0"/>
    </xf>
    <xf numFmtId="0" fontId="59" fillId="15" borderId="12" xfId="0" applyFont="1" applyFill="1" applyBorder="1" applyAlignment="1">
      <alignment horizontal="center" vertical="center"/>
    </xf>
    <xf numFmtId="0" fontId="59" fillId="16" borderId="12" xfId="0" applyFont="1" applyFill="1" applyBorder="1" applyAlignment="1" applyProtection="1">
      <alignment horizontal="center" vertical="center"/>
      <protection locked="0"/>
    </xf>
    <xf numFmtId="0" fontId="59" fillId="16" borderId="12" xfId="0" applyFont="1" applyFill="1" applyBorder="1" applyAlignment="1">
      <alignment horizontal="center" vertical="center"/>
    </xf>
    <xf numFmtId="0" fontId="59" fillId="24" borderId="13" xfId="0" applyFont="1" applyFill="1" applyBorder="1" applyAlignment="1">
      <alignment horizontal="center" vertical="center" wrapText="1"/>
    </xf>
    <xf numFmtId="0" fontId="59" fillId="10" borderId="12" xfId="0" applyFont="1" applyFill="1" applyBorder="1" applyAlignment="1">
      <alignment horizontal="center" vertical="center" wrapText="1"/>
    </xf>
    <xf numFmtId="0" fontId="59" fillId="18" borderId="12" xfId="0" applyFont="1" applyFill="1" applyBorder="1" applyAlignment="1">
      <alignment horizontal="center" vertical="center" wrapText="1"/>
    </xf>
    <xf numFmtId="0" fontId="59" fillId="10" borderId="12" xfId="0" applyFont="1" applyFill="1" applyBorder="1" applyAlignment="1">
      <alignment horizontal="center" vertical="center"/>
    </xf>
    <xf numFmtId="0" fontId="59" fillId="3" borderId="12" xfId="0" applyFont="1" applyFill="1" applyBorder="1" applyAlignment="1">
      <alignment horizontal="center" vertical="center" wrapText="1"/>
    </xf>
    <xf numFmtId="0" fontId="59" fillId="8" borderId="12" xfId="0" applyFont="1" applyFill="1" applyBorder="1" applyAlignment="1">
      <alignment horizontal="center" vertical="center" wrapText="1"/>
    </xf>
    <xf numFmtId="0" fontId="59" fillId="2" borderId="12" xfId="0" applyFont="1" applyFill="1" applyBorder="1" applyAlignment="1">
      <alignment horizontal="center" vertical="center" wrapText="1"/>
    </xf>
    <xf numFmtId="0" fontId="59" fillId="0" borderId="13" xfId="0" applyFont="1" applyBorder="1" applyAlignment="1">
      <alignment horizontal="center" vertical="center" wrapText="1"/>
    </xf>
    <xf numFmtId="164" fontId="59" fillId="0" borderId="13" xfId="0" applyNumberFormat="1" applyFont="1" applyBorder="1" applyAlignment="1">
      <alignment horizontal="right" vertical="center" wrapText="1" indent="2"/>
    </xf>
    <xf numFmtId="49" fontId="53" fillId="34" borderId="26" xfId="0" applyNumberFormat="1" applyFont="1" applyFill="1" applyBorder="1" applyAlignment="1">
      <alignment horizontal="center" vertical="center" wrapText="1"/>
    </xf>
    <xf numFmtId="49" fontId="54" fillId="33" borderId="26" xfId="0" applyNumberFormat="1" applyFont="1" applyFill="1" applyBorder="1" applyAlignment="1">
      <alignment horizontal="center" vertical="center" wrapText="1"/>
    </xf>
    <xf numFmtId="0" fontId="54" fillId="33" borderId="26" xfId="0" applyFont="1" applyFill="1" applyBorder="1" applyAlignment="1">
      <alignment horizontal="center" vertical="center" wrapText="1"/>
    </xf>
    <xf numFmtId="0" fontId="55" fillId="33" borderId="26" xfId="0" applyFont="1" applyFill="1" applyBorder="1" applyAlignment="1">
      <alignment horizontal="center" vertical="center" wrapText="1"/>
    </xf>
    <xf numFmtId="0" fontId="74" fillId="33" borderId="26" xfId="0" applyFont="1" applyFill="1" applyBorder="1" applyAlignment="1">
      <alignment vertical="center" wrapText="1"/>
    </xf>
    <xf numFmtId="0" fontId="73" fillId="23" borderId="26" xfId="0" applyFont="1" applyFill="1" applyBorder="1" applyAlignment="1">
      <alignment vertical="center" wrapText="1"/>
    </xf>
    <xf numFmtId="0" fontId="73" fillId="35" borderId="26" xfId="0" applyFont="1" applyFill="1" applyBorder="1" applyAlignment="1">
      <alignment horizontal="center" vertical="center" wrapText="1"/>
    </xf>
    <xf numFmtId="0" fontId="55" fillId="35" borderId="26" xfId="0" applyFont="1" applyFill="1" applyBorder="1" applyAlignment="1">
      <alignment horizontal="center" vertical="center" wrapText="1"/>
    </xf>
    <xf numFmtId="0" fontId="69" fillId="36" borderId="26" xfId="0" applyFont="1" applyFill="1" applyBorder="1" applyAlignment="1">
      <alignment horizontal="center" vertical="center" wrapText="1"/>
    </xf>
    <xf numFmtId="0" fontId="59" fillId="36" borderId="26" xfId="0" applyFont="1" applyFill="1" applyBorder="1" applyAlignment="1">
      <alignment horizontal="center" vertical="center" wrapText="1"/>
    </xf>
    <xf numFmtId="0" fontId="59" fillId="37" borderId="26" xfId="0" applyFont="1" applyFill="1" applyBorder="1" applyAlignment="1">
      <alignment horizontal="center" vertical="center"/>
    </xf>
    <xf numFmtId="0" fontId="59" fillId="38" borderId="26" xfId="0" applyFont="1" applyFill="1" applyBorder="1" applyAlignment="1">
      <alignment horizontal="center" vertical="center"/>
    </xf>
    <xf numFmtId="1" fontId="59" fillId="38" borderId="26" xfId="0" applyNumberFormat="1" applyFont="1" applyFill="1" applyBorder="1" applyAlignment="1">
      <alignment horizontal="center" vertical="center"/>
    </xf>
    <xf numFmtId="0" fontId="61" fillId="39" borderId="26" xfId="0" applyFont="1" applyFill="1" applyBorder="1" applyAlignment="1">
      <alignment horizontal="center" vertical="center"/>
    </xf>
    <xf numFmtId="0" fontId="59" fillId="39" borderId="26" xfId="0" applyFont="1" applyFill="1" applyBorder="1" applyAlignment="1">
      <alignment horizontal="center" vertical="center"/>
    </xf>
    <xf numFmtId="0" fontId="59" fillId="40" borderId="26" xfId="0" applyFont="1" applyFill="1" applyBorder="1" applyAlignment="1">
      <alignment horizontal="center" vertical="center"/>
    </xf>
    <xf numFmtId="0" fontId="59" fillId="41" borderId="26" xfId="0" applyFont="1" applyFill="1" applyBorder="1" applyAlignment="1">
      <alignment horizontal="center" vertical="center"/>
    </xf>
    <xf numFmtId="0" fontId="59" fillId="42" borderId="26" xfId="0" applyFont="1" applyFill="1" applyBorder="1" applyAlignment="1">
      <alignment horizontal="center" vertical="center"/>
    </xf>
    <xf numFmtId="0" fontId="59" fillId="43" borderId="26" xfId="0" applyFont="1" applyFill="1" applyBorder="1" applyAlignment="1">
      <alignment horizontal="center" vertical="center" wrapText="1"/>
    </xf>
    <xf numFmtId="0" fontId="59" fillId="35" borderId="26" xfId="0" applyFont="1" applyFill="1" applyBorder="1" applyAlignment="1">
      <alignment horizontal="center" vertical="center" wrapText="1"/>
    </xf>
    <xf numFmtId="0" fontId="59" fillId="44" borderId="26" xfId="0" applyFont="1" applyFill="1" applyBorder="1" applyAlignment="1">
      <alignment horizontal="center" vertical="center" wrapText="1"/>
    </xf>
    <xf numFmtId="0" fontId="59" fillId="35" borderId="26" xfId="0" applyFont="1" applyFill="1" applyBorder="1" applyAlignment="1">
      <alignment horizontal="center" vertical="center"/>
    </xf>
    <xf numFmtId="0" fontId="59" fillId="45" borderId="26" xfId="0" applyFont="1" applyFill="1" applyBorder="1" applyAlignment="1">
      <alignment horizontal="center" vertical="center" wrapText="1"/>
    </xf>
    <xf numFmtId="0" fontId="59" fillId="46" borderId="26" xfId="0" applyFont="1" applyFill="1" applyBorder="1" applyAlignment="1">
      <alignment horizontal="center" vertical="center" wrapText="1"/>
    </xf>
    <xf numFmtId="0" fontId="59" fillId="33" borderId="26" xfId="0" applyFont="1" applyFill="1" applyBorder="1" applyAlignment="1">
      <alignment horizontal="center" vertical="center" wrapText="1"/>
    </xf>
    <xf numFmtId="164" fontId="59" fillId="33" borderId="26" xfId="0" applyNumberFormat="1" applyFont="1" applyFill="1" applyBorder="1" applyAlignment="1">
      <alignment horizontal="center" vertical="center" wrapText="1"/>
    </xf>
    <xf numFmtId="49" fontId="55" fillId="22" borderId="27" xfId="0" applyNumberFormat="1" applyFont="1" applyFill="1" applyBorder="1" applyAlignment="1" applyProtection="1">
      <alignment horizontal="center" vertical="center" wrapText="1"/>
      <protection locked="0"/>
    </xf>
    <xf numFmtId="49" fontId="55" fillId="0" borderId="30" xfId="0" applyNumberFormat="1" applyFont="1" applyBorder="1" applyAlignment="1" applyProtection="1">
      <alignment horizontal="center" vertical="center" wrapText="1"/>
      <protection locked="0"/>
    </xf>
    <xf numFmtId="0" fontId="74" fillId="0" borderId="30" xfId="0" applyFont="1" applyBorder="1" applyAlignment="1" applyProtection="1">
      <alignment vertical="center" wrapText="1"/>
      <protection locked="0"/>
    </xf>
    <xf numFmtId="1" fontId="59" fillId="33" borderId="0" xfId="0" applyNumberFormat="1" applyFont="1" applyFill="1"/>
    <xf numFmtId="0" fontId="61" fillId="2" borderId="32" xfId="0" applyFont="1" applyFill="1" applyBorder="1" applyAlignment="1" applyProtection="1">
      <alignment horizontal="center" vertical="center" wrapText="1"/>
      <protection locked="0"/>
    </xf>
    <xf numFmtId="0" fontId="58" fillId="14" borderId="10" xfId="0" applyFont="1" applyFill="1" applyBorder="1" applyAlignment="1" applyProtection="1">
      <alignment horizontal="center" vertical="center"/>
      <protection locked="0"/>
    </xf>
    <xf numFmtId="0" fontId="58" fillId="15" borderId="10" xfId="0" applyFont="1" applyFill="1" applyBorder="1" applyAlignment="1" applyProtection="1">
      <alignment horizontal="center" vertical="center"/>
      <protection locked="0"/>
    </xf>
    <xf numFmtId="0" fontId="63" fillId="6" borderId="10" xfId="0" applyFont="1" applyFill="1" applyBorder="1" applyAlignment="1">
      <alignment horizontal="left" vertical="center" wrapText="1"/>
    </xf>
    <xf numFmtId="49" fontId="63" fillId="6" borderId="10" xfId="0" applyNumberFormat="1" applyFont="1" applyFill="1" applyBorder="1" applyAlignment="1">
      <alignment horizontal="left" vertical="center" wrapText="1"/>
    </xf>
    <xf numFmtId="0" fontId="58" fillId="12" borderId="10" xfId="0" applyFont="1" applyFill="1" applyBorder="1" applyAlignment="1">
      <alignment horizontal="center" vertical="center"/>
    </xf>
    <xf numFmtId="0" fontId="58" fillId="16" borderId="10" xfId="0" applyFont="1" applyFill="1" applyBorder="1" applyAlignment="1">
      <alignment horizontal="center" vertical="center"/>
    </xf>
    <xf numFmtId="0" fontId="58" fillId="48" borderId="10" xfId="0" applyFont="1" applyFill="1" applyBorder="1" applyAlignment="1">
      <alignment horizontal="center" vertical="center"/>
    </xf>
    <xf numFmtId="0" fontId="58" fillId="49" borderId="10" xfId="0" applyFont="1" applyFill="1" applyBorder="1" applyAlignment="1">
      <alignment horizontal="center" vertical="center"/>
    </xf>
    <xf numFmtId="0" fontId="58" fillId="50" borderId="10" xfId="0" applyFont="1" applyFill="1" applyBorder="1" applyAlignment="1">
      <alignment horizontal="center" vertical="center"/>
    </xf>
    <xf numFmtId="164" fontId="58" fillId="0" borderId="51" xfId="0" applyNumberFormat="1" applyFont="1" applyBorder="1" applyAlignment="1">
      <alignment horizontal="right" vertical="center" wrapText="1" indent="2"/>
    </xf>
    <xf numFmtId="1" fontId="2" fillId="6" borderId="10" xfId="0" applyNumberFormat="1" applyFont="1" applyFill="1" applyBorder="1" applyAlignment="1">
      <alignment horizontal="center" vertical="center" wrapText="1"/>
    </xf>
    <xf numFmtId="49" fontId="53" fillId="22" borderId="12" xfId="0" applyNumberFormat="1" applyFont="1" applyFill="1" applyBorder="1" applyAlignment="1" applyProtection="1">
      <alignment horizontal="center" vertical="center" wrapText="1"/>
      <protection locked="0"/>
    </xf>
    <xf numFmtId="1" fontId="54" fillId="0" borderId="12" xfId="0" applyNumberFormat="1" applyFont="1" applyBorder="1" applyAlignment="1" applyProtection="1">
      <alignment horizontal="center" vertical="center" wrapText="1"/>
      <protection locked="0"/>
    </xf>
    <xf numFmtId="0" fontId="59" fillId="48" borderId="12" xfId="0" applyFont="1" applyFill="1" applyBorder="1" applyAlignment="1" applyProtection="1">
      <alignment horizontal="center" vertical="center"/>
      <protection locked="0"/>
    </xf>
    <xf numFmtId="0" fontId="59" fillId="48" borderId="12" xfId="0" applyFont="1" applyFill="1" applyBorder="1" applyAlignment="1">
      <alignment horizontal="center" vertical="center"/>
    </xf>
    <xf numFmtId="0" fontId="59" fillId="49" borderId="12" xfId="0" applyFont="1" applyFill="1" applyBorder="1" applyAlignment="1" applyProtection="1">
      <alignment horizontal="center" vertical="center"/>
      <protection locked="0"/>
    </xf>
    <xf numFmtId="0" fontId="59" fillId="49" borderId="12" xfId="0" applyFont="1" applyFill="1" applyBorder="1" applyAlignment="1">
      <alignment horizontal="center" vertical="center"/>
    </xf>
    <xf numFmtId="0" fontId="59" fillId="50" borderId="12" xfId="0" applyFont="1" applyFill="1" applyBorder="1" applyAlignment="1" applyProtection="1">
      <alignment horizontal="center" vertical="center"/>
      <protection locked="0"/>
    </xf>
    <xf numFmtId="0" fontId="59" fillId="50" borderId="12" xfId="0" applyFont="1" applyFill="1" applyBorder="1" applyAlignment="1">
      <alignment horizontal="center" vertical="center"/>
    </xf>
    <xf numFmtId="0" fontId="59" fillId="24" borderId="12" xfId="0" applyFont="1" applyFill="1" applyBorder="1" applyAlignment="1">
      <alignment horizontal="center" vertical="center" wrapText="1"/>
    </xf>
    <xf numFmtId="0" fontId="59" fillId="0" borderId="12" xfId="0" applyFont="1" applyBorder="1" applyAlignment="1">
      <alignment horizontal="center" vertical="center" wrapText="1"/>
    </xf>
    <xf numFmtId="164" fontId="59" fillId="0" borderId="12" xfId="0" applyNumberFormat="1" applyFont="1" applyBorder="1" applyAlignment="1">
      <alignment horizontal="right" vertical="center" wrapText="1" indent="2"/>
    </xf>
    <xf numFmtId="49" fontId="53" fillId="22" borderId="53" xfId="0" applyNumberFormat="1" applyFont="1" applyFill="1" applyBorder="1" applyAlignment="1" applyProtection="1">
      <alignment horizontal="center" vertical="center" wrapText="1"/>
      <protection locked="0"/>
    </xf>
    <xf numFmtId="1" fontId="54" fillId="0" borderId="53" xfId="0" applyNumberFormat="1" applyFont="1" applyBorder="1" applyAlignment="1" applyProtection="1">
      <alignment horizontal="center" vertical="center" wrapText="1"/>
      <protection locked="0"/>
    </xf>
    <xf numFmtId="0" fontId="54" fillId="0" borderId="53" xfId="0" applyFont="1" applyBorder="1" applyAlignment="1" applyProtection="1">
      <alignment horizontal="center" vertical="center" wrapText="1"/>
      <protection locked="0"/>
    </xf>
    <xf numFmtId="0" fontId="56" fillId="23" borderId="53" xfId="0" applyFont="1" applyFill="1" applyBorder="1" applyAlignment="1" applyProtection="1">
      <alignment vertical="center" wrapText="1"/>
      <protection locked="0"/>
    </xf>
    <xf numFmtId="0" fontId="57" fillId="23" borderId="53" xfId="0" applyFont="1" applyFill="1" applyBorder="1" applyAlignment="1" applyProtection="1">
      <alignment vertical="center" wrapText="1"/>
      <protection locked="0"/>
    </xf>
    <xf numFmtId="0" fontId="57" fillId="10" borderId="53" xfId="0" applyFont="1" applyFill="1" applyBorder="1" applyAlignment="1" applyProtection="1">
      <alignment horizontal="center" vertical="center" wrapText="1"/>
      <protection locked="0"/>
    </xf>
    <xf numFmtId="0" fontId="54" fillId="10" borderId="53" xfId="0" applyFont="1" applyFill="1" applyBorder="1" applyAlignment="1" applyProtection="1">
      <alignment horizontal="center" vertical="center" wrapText="1"/>
      <protection locked="0"/>
    </xf>
    <xf numFmtId="0" fontId="58" fillId="2" borderId="53" xfId="0" applyFont="1" applyFill="1" applyBorder="1" applyAlignment="1" applyProtection="1">
      <alignment horizontal="center" vertical="center" wrapText="1"/>
      <protection locked="0"/>
    </xf>
    <xf numFmtId="0" fontId="58" fillId="2" borderId="53" xfId="0" applyFont="1" applyFill="1" applyBorder="1" applyAlignment="1">
      <alignment horizontal="center" vertical="center" wrapText="1"/>
    </xf>
    <xf numFmtId="0" fontId="58" fillId="11" borderId="53" xfId="0" applyFont="1" applyFill="1" applyBorder="1" applyAlignment="1" applyProtection="1">
      <alignment horizontal="center" vertical="center"/>
      <protection locked="0"/>
    </xf>
    <xf numFmtId="0" fontId="58" fillId="11" borderId="53" xfId="0" applyFont="1" applyFill="1" applyBorder="1" applyAlignment="1">
      <alignment horizontal="center" vertical="center"/>
    </xf>
    <xf numFmtId="0" fontId="58" fillId="12" borderId="53" xfId="0" applyFont="1" applyFill="1" applyBorder="1" applyAlignment="1" applyProtection="1">
      <alignment horizontal="center" vertical="center"/>
      <protection locked="0"/>
    </xf>
    <xf numFmtId="1" fontId="58" fillId="12" borderId="53" xfId="0" applyNumberFormat="1" applyFont="1" applyFill="1" applyBorder="1" applyAlignment="1">
      <alignment horizontal="center" vertical="center"/>
    </xf>
    <xf numFmtId="0" fontId="58" fillId="13" borderId="53" xfId="0" applyFont="1" applyFill="1" applyBorder="1" applyAlignment="1" applyProtection="1">
      <alignment horizontal="center" vertical="center"/>
      <protection locked="0"/>
    </xf>
    <xf numFmtId="0" fontId="58" fillId="13" borderId="53" xfId="0" applyFont="1" applyFill="1" applyBorder="1" applyAlignment="1">
      <alignment horizontal="center" vertical="center"/>
    </xf>
    <xf numFmtId="0" fontId="59" fillId="14" borderId="53" xfId="0" applyFont="1" applyFill="1" applyBorder="1" applyAlignment="1" applyProtection="1">
      <alignment horizontal="center" vertical="center"/>
      <protection locked="0"/>
    </xf>
    <xf numFmtId="0" fontId="59" fillId="14" borderId="53" xfId="0" applyFont="1" applyFill="1" applyBorder="1" applyAlignment="1">
      <alignment horizontal="center" vertical="center"/>
    </xf>
    <xf numFmtId="0" fontId="59" fillId="15" borderId="53" xfId="0" applyFont="1" applyFill="1" applyBorder="1" applyAlignment="1" applyProtection="1">
      <alignment horizontal="center" vertical="center"/>
      <protection locked="0"/>
    </xf>
    <xf numFmtId="0" fontId="59" fillId="15" borderId="53" xfId="0" applyFont="1" applyFill="1" applyBorder="1" applyAlignment="1">
      <alignment horizontal="center" vertical="center"/>
    </xf>
    <xf numFmtId="0" fontId="59" fillId="16" borderId="53" xfId="0" applyFont="1" applyFill="1" applyBorder="1" applyAlignment="1" applyProtection="1">
      <alignment horizontal="center" vertical="center"/>
      <protection locked="0"/>
    </xf>
    <xf numFmtId="0" fontId="59" fillId="16" borderId="53" xfId="0" applyFont="1" applyFill="1" applyBorder="1" applyAlignment="1">
      <alignment horizontal="center" vertical="center"/>
    </xf>
    <xf numFmtId="0" fontId="59" fillId="48" borderId="53" xfId="0" applyFont="1" applyFill="1" applyBorder="1" applyAlignment="1" applyProtection="1">
      <alignment horizontal="center" vertical="center"/>
      <protection locked="0"/>
    </xf>
    <xf numFmtId="0" fontId="59" fillId="48" borderId="53" xfId="0" applyFont="1" applyFill="1" applyBorder="1" applyAlignment="1">
      <alignment horizontal="center" vertical="center"/>
    </xf>
    <xf numFmtId="0" fontId="59" fillId="49" borderId="53" xfId="0" applyFont="1" applyFill="1" applyBorder="1" applyAlignment="1" applyProtection="1">
      <alignment horizontal="center" vertical="center"/>
      <protection locked="0"/>
    </xf>
    <xf numFmtId="0" fontId="59" fillId="49" borderId="53" xfId="0" applyFont="1" applyFill="1" applyBorder="1" applyAlignment="1">
      <alignment horizontal="center" vertical="center"/>
    </xf>
    <xf numFmtId="0" fontId="59" fillId="50" borderId="53" xfId="0" applyFont="1" applyFill="1" applyBorder="1" applyAlignment="1" applyProtection="1">
      <alignment horizontal="center" vertical="center"/>
      <protection locked="0"/>
    </xf>
    <xf numFmtId="0" fontId="59" fillId="50" borderId="53" xfId="0" applyFont="1" applyFill="1" applyBorder="1" applyAlignment="1">
      <alignment horizontal="center" vertical="center"/>
    </xf>
    <xf numFmtId="0" fontId="59" fillId="24" borderId="53" xfId="0" applyFont="1" applyFill="1" applyBorder="1" applyAlignment="1">
      <alignment horizontal="center" vertical="center" wrapText="1"/>
    </xf>
    <xf numFmtId="0" fontId="59" fillId="10" borderId="53" xfId="0" applyFont="1" applyFill="1" applyBorder="1" applyAlignment="1">
      <alignment horizontal="center" vertical="center" wrapText="1"/>
    </xf>
    <xf numFmtId="0" fontId="59" fillId="18" borderId="53" xfId="0" applyFont="1" applyFill="1" applyBorder="1" applyAlignment="1">
      <alignment horizontal="center" vertical="center" wrapText="1"/>
    </xf>
    <xf numFmtId="0" fontId="59" fillId="10" borderId="53" xfId="0" applyFont="1" applyFill="1" applyBorder="1" applyAlignment="1">
      <alignment horizontal="center" vertical="center"/>
    </xf>
    <xf numFmtId="0" fontId="59" fillId="3" borderId="53" xfId="0" applyFont="1" applyFill="1" applyBorder="1" applyAlignment="1">
      <alignment horizontal="center" vertical="center" wrapText="1"/>
    </xf>
    <xf numFmtId="0" fontId="59" fillId="8" borderId="53" xfId="0" applyFont="1" applyFill="1" applyBorder="1" applyAlignment="1">
      <alignment horizontal="center" vertical="center" wrapText="1"/>
    </xf>
    <xf numFmtId="0" fontId="59" fillId="2" borderId="53" xfId="0" applyFont="1" applyFill="1" applyBorder="1" applyAlignment="1">
      <alignment horizontal="center" vertical="center" wrapText="1"/>
    </xf>
    <xf numFmtId="0" fontId="59" fillId="0" borderId="53" xfId="0" applyFont="1" applyBorder="1" applyAlignment="1">
      <alignment horizontal="center" vertical="center" wrapText="1"/>
    </xf>
    <xf numFmtId="164" fontId="59" fillId="0" borderId="53" xfId="0" applyNumberFormat="1" applyFont="1" applyBorder="1" applyAlignment="1">
      <alignment horizontal="right" vertical="center" wrapText="1" indent="2"/>
    </xf>
    <xf numFmtId="0" fontId="2" fillId="33" borderId="54" xfId="0" applyFont="1" applyFill="1" applyBorder="1"/>
    <xf numFmtId="0" fontId="77" fillId="6" borderId="10" xfId="0" applyFont="1" applyFill="1" applyBorder="1" applyAlignment="1">
      <alignment horizontal="center" vertical="center" wrapText="1"/>
    </xf>
    <xf numFmtId="0" fontId="2" fillId="17" borderId="23" xfId="0" applyFont="1" applyFill="1" applyBorder="1" applyAlignment="1">
      <alignment horizontal="center" vertical="center"/>
    </xf>
    <xf numFmtId="49" fontId="3" fillId="7" borderId="8" xfId="0" applyNumberFormat="1" applyFont="1" applyFill="1" applyBorder="1" applyAlignment="1">
      <alignment horizontal="center" vertical="center"/>
    </xf>
    <xf numFmtId="49" fontId="3" fillId="7" borderId="15" xfId="0" applyNumberFormat="1" applyFont="1" applyFill="1" applyBorder="1" applyAlignment="1">
      <alignment horizontal="center" vertical="center"/>
    </xf>
    <xf numFmtId="49" fontId="3" fillId="7" borderId="7" xfId="0" applyNumberFormat="1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 wrapText="1"/>
    </xf>
    <xf numFmtId="0" fontId="2" fillId="8" borderId="2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textRotation="90" wrapText="1"/>
    </xf>
    <xf numFmtId="0" fontId="2" fillId="10" borderId="22" xfId="0" applyFont="1" applyFill="1" applyBorder="1" applyAlignment="1">
      <alignment horizontal="center" vertical="center" textRotation="90" wrapText="1"/>
    </xf>
    <xf numFmtId="0" fontId="2" fillId="14" borderId="45" xfId="0" applyFont="1" applyFill="1" applyBorder="1" applyAlignment="1">
      <alignment horizontal="center" vertical="center"/>
    </xf>
    <xf numFmtId="0" fontId="2" fillId="14" borderId="28" xfId="0" applyFont="1" applyFill="1" applyBorder="1" applyAlignment="1">
      <alignment horizontal="center" vertical="center"/>
    </xf>
    <xf numFmtId="0" fontId="2" fillId="14" borderId="46" xfId="0" applyFont="1" applyFill="1" applyBorder="1" applyAlignment="1">
      <alignment horizontal="center" vertical="center"/>
    </xf>
    <xf numFmtId="0" fontId="2" fillId="15" borderId="45" xfId="0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0" fontId="2" fillId="15" borderId="46" xfId="0" applyFont="1" applyFill="1" applyBorder="1" applyAlignment="1">
      <alignment horizontal="center" vertical="center"/>
    </xf>
    <xf numFmtId="0" fontId="2" fillId="49" borderId="45" xfId="0" applyFont="1" applyFill="1" applyBorder="1" applyAlignment="1">
      <alignment horizontal="center" vertical="center"/>
    </xf>
    <xf numFmtId="0" fontId="47" fillId="52" borderId="28" xfId="0" applyFont="1" applyFill="1" applyBorder="1"/>
    <xf numFmtId="0" fontId="47" fillId="52" borderId="46" xfId="0" applyFont="1" applyFill="1" applyBorder="1"/>
    <xf numFmtId="0" fontId="2" fillId="50" borderId="45" xfId="0" applyFont="1" applyFill="1" applyBorder="1" applyAlignment="1">
      <alignment horizontal="center" vertical="center"/>
    </xf>
    <xf numFmtId="0" fontId="47" fillId="53" borderId="28" xfId="0" applyFont="1" applyFill="1" applyBorder="1"/>
    <xf numFmtId="0" fontId="47" fillId="53" borderId="46" xfId="0" applyFont="1" applyFill="1" applyBorder="1"/>
    <xf numFmtId="0" fontId="2" fillId="48" borderId="45" xfId="0" applyFont="1" applyFill="1" applyBorder="1" applyAlignment="1">
      <alignment horizontal="center" vertical="center"/>
    </xf>
    <xf numFmtId="0" fontId="47" fillId="51" borderId="28" xfId="0" applyFont="1" applyFill="1" applyBorder="1"/>
    <xf numFmtId="0" fontId="47" fillId="51" borderId="46" xfId="0" applyFont="1" applyFill="1" applyBorder="1"/>
    <xf numFmtId="0" fontId="2" fillId="54" borderId="23" xfId="0" applyFont="1" applyFill="1" applyBorder="1" applyAlignment="1">
      <alignment horizontal="center" vertical="center"/>
    </xf>
    <xf numFmtId="0" fontId="2" fillId="16" borderId="45" xfId="0" applyFont="1" applyFill="1" applyBorder="1" applyAlignment="1">
      <alignment horizontal="center" vertical="center"/>
    </xf>
    <xf numFmtId="0" fontId="47" fillId="0" borderId="28" xfId="0" applyFont="1" applyBorder="1"/>
    <xf numFmtId="0" fontId="47" fillId="0" borderId="46" xfId="0" applyFont="1" applyBorder="1"/>
    <xf numFmtId="49" fontId="60" fillId="21" borderId="8" xfId="0" applyNumberFormat="1" applyFont="1" applyFill="1" applyBorder="1" applyAlignment="1">
      <alignment horizontal="left" vertical="center" wrapText="1"/>
    </xf>
    <xf numFmtId="0" fontId="64" fillId="0" borderId="15" xfId="0" applyFont="1" applyBorder="1" applyAlignment="1">
      <alignment horizontal="left"/>
    </xf>
    <xf numFmtId="0" fontId="2" fillId="5" borderId="23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49" fontId="60" fillId="21" borderId="34" xfId="0" applyNumberFormat="1" applyFont="1" applyFill="1" applyBorder="1" applyAlignment="1">
      <alignment horizontal="left" vertical="center" wrapText="1"/>
    </xf>
    <xf numFmtId="0" fontId="64" fillId="0" borderId="16" xfId="0" applyFont="1" applyBorder="1" applyAlignment="1">
      <alignment horizontal="left"/>
    </xf>
    <xf numFmtId="0" fontId="2" fillId="12" borderId="45" xfId="0" applyFont="1" applyFill="1" applyBorder="1" applyAlignment="1">
      <alignment horizontal="center" vertical="center"/>
    </xf>
    <xf numFmtId="49" fontId="60" fillId="21" borderId="3" xfId="0" applyNumberFormat="1" applyFont="1" applyFill="1" applyBorder="1" applyAlignment="1">
      <alignment horizontal="left" vertical="center" wrapText="1"/>
    </xf>
    <xf numFmtId="0" fontId="64" fillId="0" borderId="4" xfId="0" applyFont="1" applyBorder="1" applyAlignment="1">
      <alignment horizontal="left"/>
    </xf>
    <xf numFmtId="49" fontId="60" fillId="21" borderId="15" xfId="0" applyNumberFormat="1" applyFont="1" applyFill="1" applyBorder="1" applyAlignment="1">
      <alignment horizontal="left" vertical="center" wrapText="1"/>
    </xf>
    <xf numFmtId="49" fontId="60" fillId="21" borderId="35" xfId="0" applyNumberFormat="1" applyFont="1" applyFill="1" applyBorder="1" applyAlignment="1">
      <alignment horizontal="left" vertical="center" wrapText="1"/>
    </xf>
    <xf numFmtId="49" fontId="60" fillId="21" borderId="36" xfId="0" applyNumberFormat="1" applyFont="1" applyFill="1" applyBorder="1" applyAlignment="1">
      <alignment horizontal="left" vertical="center" wrapText="1"/>
    </xf>
    <xf numFmtId="0" fontId="2" fillId="2" borderId="45" xfId="0" applyFont="1" applyFill="1" applyBorder="1" applyAlignment="1">
      <alignment horizontal="center" vertical="center"/>
    </xf>
    <xf numFmtId="0" fontId="2" fillId="11" borderId="45" xfId="0" applyFont="1" applyFill="1" applyBorder="1" applyAlignment="1">
      <alignment horizontal="center" vertical="center"/>
    </xf>
    <xf numFmtId="0" fontId="2" fillId="13" borderId="45" xfId="0" applyFont="1" applyFill="1" applyBorder="1" applyAlignment="1">
      <alignment horizontal="center" vertical="center"/>
    </xf>
    <xf numFmtId="0" fontId="55" fillId="55" borderId="36" xfId="0" applyFont="1" applyFill="1" applyBorder="1" applyAlignment="1" applyProtection="1">
      <alignment horizontal="center" vertical="center" wrapText="1"/>
      <protection locked="0"/>
    </xf>
    <xf numFmtId="0" fontId="42" fillId="55" borderId="36" xfId="0" applyFont="1" applyFill="1" applyBorder="1" applyAlignment="1" applyProtection="1">
      <alignment horizontal="center" vertical="center"/>
      <protection locked="0"/>
    </xf>
    <xf numFmtId="0" fontId="42" fillId="55" borderId="24" xfId="0" applyFont="1" applyFill="1" applyBorder="1" applyAlignment="1" applyProtection="1">
      <alignment horizontal="center" vertical="center"/>
      <protection locked="0"/>
    </xf>
    <xf numFmtId="0" fontId="2" fillId="3" borderId="23" xfId="0" applyFont="1" applyFill="1" applyBorder="1" applyAlignment="1">
      <alignment horizontal="center" vertical="center"/>
    </xf>
    <xf numFmtId="0" fontId="47" fillId="0" borderId="23" xfId="0" applyFont="1" applyBorder="1"/>
    <xf numFmtId="0" fontId="2" fillId="4" borderId="23" xfId="0" applyFont="1" applyFill="1" applyBorder="1" applyAlignment="1">
      <alignment horizontal="center" vertical="center"/>
    </xf>
    <xf numFmtId="0" fontId="76" fillId="33" borderId="36" xfId="0" applyFont="1" applyFill="1" applyBorder="1" applyAlignment="1">
      <alignment horizontal="center"/>
    </xf>
    <xf numFmtId="49" fontId="4" fillId="21" borderId="8" xfId="0" applyNumberFormat="1" applyFont="1" applyFill="1" applyBorder="1" applyAlignment="1">
      <alignment horizontal="left" vertical="center" wrapText="1"/>
    </xf>
    <xf numFmtId="0" fontId="4" fillId="21" borderId="15" xfId="0" applyFont="1" applyFill="1" applyBorder="1" applyAlignment="1">
      <alignment horizontal="left" vertical="center" wrapText="1"/>
    </xf>
    <xf numFmtId="49" fontId="4" fillId="21" borderId="3" xfId="0" applyNumberFormat="1" applyFont="1" applyFill="1" applyBorder="1" applyAlignment="1">
      <alignment horizontal="left" vertical="center" wrapText="1"/>
    </xf>
    <xf numFmtId="0" fontId="47" fillId="0" borderId="4" xfId="0" applyFont="1" applyBorder="1" applyAlignment="1">
      <alignment horizontal="left"/>
    </xf>
    <xf numFmtId="0" fontId="47" fillId="0" borderId="15" xfId="0" applyFont="1" applyBorder="1" applyAlignment="1">
      <alignment horizontal="left"/>
    </xf>
    <xf numFmtId="49" fontId="4" fillId="21" borderId="15" xfId="0" applyNumberFormat="1" applyFont="1" applyFill="1" applyBorder="1" applyAlignment="1">
      <alignment horizontal="left" vertical="center" wrapText="1"/>
    </xf>
    <xf numFmtId="49" fontId="4" fillId="21" borderId="34" xfId="0" applyNumberFormat="1" applyFont="1" applyFill="1" applyBorder="1" applyAlignment="1">
      <alignment horizontal="left" vertical="center" wrapText="1"/>
    </xf>
    <xf numFmtId="0" fontId="47" fillId="0" borderId="16" xfId="0" applyFont="1" applyBorder="1" applyAlignment="1">
      <alignment horizontal="left"/>
    </xf>
    <xf numFmtId="0" fontId="43" fillId="0" borderId="2" xfId="0" applyFont="1" applyBorder="1" applyAlignment="1">
      <alignment horizontal="left" vertical="center" wrapText="1"/>
    </xf>
    <xf numFmtId="0" fontId="38" fillId="0" borderId="20" xfId="0" applyFont="1" applyBorder="1"/>
    <xf numFmtId="0" fontId="38" fillId="0" borderId="6" xfId="0" applyFont="1" applyBorder="1"/>
    <xf numFmtId="0" fontId="7" fillId="0" borderId="2" xfId="0" applyFont="1" applyBorder="1" applyAlignment="1">
      <alignment horizontal="left" vertical="center" wrapText="1"/>
    </xf>
    <xf numFmtId="0" fontId="34" fillId="0" borderId="0" xfId="0" applyFont="1" applyAlignment="1">
      <alignment horizontal="center" wrapText="1"/>
    </xf>
  </cellXfs>
  <cellStyles count="1">
    <cellStyle name="Normalny" xfId="0" builtinId="0"/>
  </cellStyles>
  <dxfs count="1038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05FF11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FFFFFF"/>
      </font>
      <fill>
        <patternFill patternType="none"/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05FF11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charset val="238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scheme val="none"/>
      </font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name val="Ebrima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numFmt numFmtId="0" formatCode="General"/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0" formatCode="General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protection locked="1" hidden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charset val="238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238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scheme val="none"/>
      </font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color auto="1"/>
        <name val="Ebrima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auto="1"/>
        <name val="Ebrima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164" formatCode="0.0%"/>
      <alignment horizontal="right" vertical="center" textRotation="0" wrapText="1" indent="2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99"/>
          <bgColor rgb="FFFFCC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CC00"/>
          <bgColor rgb="FFFFCC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00FF"/>
          <bgColor rgb="FFFF00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F99CC"/>
          <bgColor rgb="FFFF99CC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F4B083"/>
          <bgColor rgb="FFF4B08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C5E0B3"/>
          <bgColor rgb="FFC5E0B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numFmt numFmtId="0" formatCode="General"/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brima"/>
        <scheme val="none"/>
      </font>
      <fill>
        <patternFill patternType="solid">
          <fgColor rgb="FF00B050"/>
          <bgColor rgb="FF00B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DEEAF6"/>
          <bgColor rgb="FFDEEAF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1" formatCode="0"/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9CC2E5"/>
          <bgColor rgb="FF9CC2E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A8D08D"/>
          <bgColor rgb="FFA8D08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numFmt numFmtId="0" formatCode="General"/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brima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rgb="FFFFFF9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Ebrima"/>
        <scheme val="none"/>
      </font>
      <fill>
        <patternFill patternType="solid">
          <fgColor theme="0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Ebrim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Ebrima"/>
        <scheme val="none"/>
      </font>
      <numFmt numFmtId="30" formatCode="@"/>
      <fill>
        <patternFill patternType="solid">
          <fgColor rgb="FF0099FF"/>
          <bgColor rgb="FF0099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0" hidden="0"/>
    </dxf>
    <dxf>
      <border outline="0">
        <left style="thin">
          <color rgb="FF000000"/>
        </left>
        <right style="thin">
          <color rgb="FF000000"/>
        </right>
        <top style="medium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name val="Ebrima"/>
        <scheme val="none"/>
      </font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PODSUMOWANIE-style" pivot="0" count="3" xr9:uid="{00000000-0011-0000-FFFF-FFFF00000000}">
      <tableStyleElement type="headerRow" dxfId="1037"/>
      <tableStyleElement type="firstRowStripe" dxfId="1036"/>
      <tableStyleElement type="secondRowStripe" dxfId="1035"/>
    </tableStyle>
  </tableStyles>
  <colors>
    <mruColors>
      <color rgb="FF05FF11"/>
      <color rgb="FF00D2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50E787-D587-4B58-AD34-28C631B96E09}" name="Tabela_podst" displayName="Tabela_podst" ref="B28:AV41" totalsRowShown="0" headerRowDxfId="1034" dataDxfId="1032" headerRowBorderDxfId="1033" tableBorderDxfId="1031">
  <autoFilter ref="B28:AV41" xr:uid="{ED50E787-D587-4B58-AD34-28C631B96E0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96CCB3A0-07D0-4FC2-9E54-BB9258ACFAF7}" name="kod.isced" dataDxfId="1030"/>
    <tableColumn id="2" xr3:uid="{2ED3D58A-A6A7-4289-806C-BB3F8CC02A5E}" name="kod.dziedziny" dataDxfId="1029"/>
    <tableColumn id="3" xr3:uid="{50C5147C-CE23-4EEC-91F5-F05ED86C7DDB}" name="Modul" dataDxfId="1028"/>
    <tableColumn id="4" xr3:uid="{F219E95A-848E-4672-836D-4F562108AD01}" name="Umiej.prakt." dataDxfId="1027"/>
    <tableColumn id="5" xr3:uid="{3CDA1E15-31E8-4BD4-90A9-38600B757300}" name="Nazwa przedmiotu" dataDxfId="1026"/>
    <tableColumn id="6" xr3:uid="{F6BF0C74-BA28-44A9-82D3-0AD875405B2A}" name="Prowadzacy" dataDxfId="1025"/>
    <tableColumn id="7" xr3:uid="{047778D0-D9E4-4072-96ED-D740B7B02E01}" name="Forma" dataDxfId="1024"/>
    <tableColumn id="8" xr3:uid="{86E5AF54-33F4-4F13-B594-077C815F15A0}" name="czy.ects" dataDxfId="1023"/>
    <tableColumn id="9" xr3:uid="{B305244B-5D30-435B-99D3-1C3EDE5F17AD}" name="sem1.godziny" dataDxfId="1022"/>
    <tableColumn id="10" xr3:uid="{0C99F18A-4C37-4036-AF56-E9DD154065BD}" name="sem1.ects" dataDxfId="1021">
      <calculatedColumnFormula array="1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calculatedColumnFormula>
    </tableColumn>
    <tableColumn id="11" xr3:uid="{25A7B681-0DEC-4FE5-B968-80284D03C56F}" name="sem1.forma" dataDxfId="1020"/>
    <tableColumn id="12" xr3:uid="{8210559D-3247-47B6-BBED-997CC7DC48DC}" name="sem2.godziny" dataDxfId="1019"/>
    <tableColumn id="13" xr3:uid="{790E75C7-E5F6-4D4E-95FE-ED8AA1389DAE}" name="sem2.ects" dataDxfId="1018">
      <calculatedColumnFormula array="1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calculatedColumnFormula>
    </tableColumn>
    <tableColumn id="14" xr3:uid="{F722E83C-0416-4F6E-9957-EA1905D0C04B}" name="sem2.forma" dataDxfId="1017"/>
    <tableColumn id="15" xr3:uid="{8C4F41F8-F460-4206-B259-05E9982D1DF1}" name="sem3.godziny" dataDxfId="1016"/>
    <tableColumn id="16" xr3:uid="{956F0E95-BD19-4FAB-8E32-D2D5736DD6A2}" name="sem3.ects" dataDxfId="1015">
      <calculatedColumnFormula array="1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calculatedColumnFormula>
    </tableColumn>
    <tableColumn id="17" xr3:uid="{DA0DB00A-4DA0-471A-A801-6EA8C77A607F}" name="sem3.forma" dataDxfId="1014"/>
    <tableColumn id="18" xr3:uid="{ED703AE3-8A76-4339-9A9A-8F90DADF061D}" name="sem4.godziny" dataDxfId="1013"/>
    <tableColumn id="19" xr3:uid="{C5E6B806-AAD6-414A-AF0C-EE8885CC6495}" name="sem4.ects" dataDxfId="1012">
      <calculatedColumnFormula array="1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calculatedColumnFormula>
    </tableColumn>
    <tableColumn id="20" xr3:uid="{2A4AF502-B664-49D4-883B-0DBEB24374F0}" name="sem4.forma" dataDxfId="1011"/>
    <tableColumn id="21" xr3:uid="{A31033E5-AEBC-4092-9BDA-C032CF071195}" name="sem5.godziny" dataDxfId="1010"/>
    <tableColumn id="22" xr3:uid="{EC318650-97A2-4172-BE9B-A527BA560866}" name="sem5.ects" dataDxfId="1009">
      <calculatedColumnFormula array="1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calculatedColumnFormula>
    </tableColumn>
    <tableColumn id="23" xr3:uid="{A547E089-0E3A-4BD0-9E78-4E30E457B501}" name="sem5.forma" dataDxfId="1008"/>
    <tableColumn id="24" xr3:uid="{79D1E0FF-D82A-4AC9-BBEF-88DD58216018}" name="sem6.godziny" dataDxfId="1007"/>
    <tableColumn id="25" xr3:uid="{6647DF91-9F3E-498D-AB49-EA70195F2128}" name="sem6.ects" dataDxfId="1006">
      <calculatedColumnFormula array="1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calculatedColumnFormula>
    </tableColumn>
    <tableColumn id="26" xr3:uid="{BB3C9F31-1563-4A90-9E6B-B7A279E565FA}" name="sem6.forma" dataDxfId="1005"/>
    <tableColumn id="27" xr3:uid="{9FF65161-5205-48F8-8159-8CBC4417AD31}" name="sem7.godziny" dataDxfId="1004"/>
    <tableColumn id="28" xr3:uid="{C93DBB87-5F85-469B-8AAA-C1D34F4F9146}" name="sem7.ects" dataDxfId="1003">
      <calculatedColumnFormula array="1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calculatedColumnFormula>
    </tableColumn>
    <tableColumn id="29" xr3:uid="{3E68DD02-F3BE-498F-B0DF-7BC2008ED962}" name="sem7.forma" dataDxfId="1002"/>
    <tableColumn id="42" xr3:uid="{3EC71A0E-AE1A-4BAA-884D-E8FA50E43F93}" name="sem8.godziny" dataDxfId="1001"/>
    <tableColumn id="41" xr3:uid="{8B15CDE4-184A-40B3-9E8A-5A70B208FF3D}" name="sem8.ects" dataDxfId="1000">
      <calculatedColumnFormula array="1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calculatedColumnFormula>
    </tableColumn>
    <tableColumn id="40" xr3:uid="{565B4E7A-49D1-4E3C-A6C8-B2C22849F9BB}" name="sem8.forma" dataDxfId="999"/>
    <tableColumn id="43" xr3:uid="{15511A83-BA19-4F3B-9700-7764FF8C4F55}" name="sem9.godziny" dataDxfId="998"/>
    <tableColumn id="44" xr3:uid="{DD2265AF-0C6D-47B2-8B44-FC683CFDFEFB}" name="sem9.ects" dataDxfId="997">
      <calculatedColumnFormula array="1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calculatedColumnFormula>
    </tableColumn>
    <tableColumn id="45" xr3:uid="{AAA0CF0F-9E2B-4BED-AD2E-47A38C4D0930}" name="sem9.forma" dataDxfId="996"/>
    <tableColumn id="46" xr3:uid="{14909BF7-500A-4671-B164-95F4713F85FE}" name="sem10.godziny" dataDxfId="995"/>
    <tableColumn id="47" xr3:uid="{0497913A-C363-4E92-83E2-A14ECA288964}" name="sem10.ects" dataDxfId="994">
      <calculatedColumnFormula array="1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calculatedColumnFormula>
    </tableColumn>
    <tableColumn id="48" xr3:uid="{94338B1E-84C3-4DAC-94F3-10F29C811CCA}" name="sem10.forma" dataDxfId="993"/>
    <tableColumn id="30" xr3:uid="{1204D235-E17D-4243-BE8E-7197FD0A5487}" name="ects.razem" dataDxfId="992">
      <calculatedColumnFormula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calculatedColumnFormula>
    </tableColumn>
    <tableColumn id="31" xr3:uid="{EAFDCC04-2C50-4E18-A301-0A40B2A17508}" name="ects.umiej.prakt." dataDxfId="991">
      <calculatedColumnFormula>IF(ISERR(SEARCH("UP",Tabela_podst[[#This Row],[Umiej.prakt.]],1)),0,Tabela_podst[[#This Row],[ects.razem]])</calculatedColumnFormula>
    </tableColumn>
    <tableColumn id="32" xr3:uid="{223706CA-8839-497D-8370-B28C5C536F3C}" name="ects.bezposr.nauczyciel" dataDxfId="990">
      <calculatedColumnFormula>IF(Tabela_podst[[#This Row],[czy.ects]]="TAK",ROUND((SUM(Tabela_podst[[#This Row],[godziny.konsultacja]],Tabela_podst[[#This Row],[godziny.egzamin]],Tabela_podst[[#This Row],[godziny.zajec.razem]])/25)/0.5,0)*0.5,0)</calculatedColumnFormula>
    </tableColumn>
    <tableColumn id="33" xr3:uid="{CC69BF47-6EAC-4FA4-AFA7-062F516D3C6D}" name="godziny.razem.student" dataDxfId="989">
      <calculatedColumnFormula>SUM(Tabela_podst[[#This Row],[godziny.samoksztalcenie]],Tabela_podst[[#This Row],[godziny.konsultacja]],Tabela_podst[[#This Row],[godziny.egzamin]],Tabela_podst[[#This Row],[godziny.zajec.razem]])</calculatedColumnFormula>
    </tableColumn>
    <tableColumn id="34" xr3:uid="{2E688F16-FB92-47ED-A440-2995FEE0EB89}" name="godziny.samoksztalcenie" dataDxfId="988">
      <calculatedColumnFormula>INT(SUM(Tabela_podst[[#This Row],[godziny.konsultacja]],Tabela_podst[[#This Row],[godziny.egzamin]],Tabela_podst[[#This Row],[godziny.zajec.razem]])*0.5+Tabela_podst[[#This Row],[godziny.zajec.razem]]*(15-$G$194)/9)</calculatedColumnFormula>
    </tableColumn>
    <tableColumn id="35" xr3:uid="{4EA28359-5890-4701-BD62-42AEA5FCBD6D}" name="godziny.konsultacja" dataDxfId="987">
      <calculatedColumnFormula>INT(Tabela_podst[[#This Row],[godziny.zajec.razem]]*0.1)</calculatedColumnFormula>
    </tableColumn>
    <tableColumn id="36" xr3:uid="{EC091BF0-ED74-4E5C-BF00-7EEBC1C9DFD1}" name="godziny.egzamin" dataDxfId="986">
      <calculatedColumnFormula>IF(Tabela_podst[[#This Row],[godziny.zajec.razem]]&gt;0,IF(Tabela_podst[[#This Row],[godziny.zajec.razem]]&gt;=45,4,2),0)</calculatedColumnFormula>
    </tableColumn>
    <tableColumn id="37" xr3:uid="{E00D690D-F5A3-4E02-8546-37637902FFF3}" name="godziny.zajec.razem" dataDxfId="985">
      <calculatedColumnFormula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calculatedColumnFormula>
    </tableColumn>
    <tableColumn id="38" xr3:uid="{C8A19456-18AD-46D9-BAFB-F958B3F66291}" name="ects.bezpos.kontakt.procent" dataDxfId="984">
      <calculatedColumnFormula>IF(Tabela_podst[[#This Row],[ects.bezposr.nauczyciel]],Tabela_podst[[#This Row],[ects.bezposr.nauczyciel]]/Tabela_podst[[#This Row],[ects.razem]],0)</calculatedColumnFormula>
    </tableColumn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F3211EA-1690-4B0C-AEE0-57E7ED4F1198}" name="Tabela_kier" displayName="Tabela_kier" ref="B45:AV76" totalsRowShown="0" headerRowDxfId="983" dataDxfId="981" headerRowBorderDxfId="982" tableBorderDxfId="980">
  <autoFilter ref="B45:AV76" xr:uid="{DF3211EA-1690-4B0C-AEE0-57E7ED4F119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08912B6E-ABDF-41B9-8AB0-228B3187FB53}" name="kod.isced" dataDxfId="979"/>
    <tableColumn id="2" xr3:uid="{710DA76A-40B3-4535-AFEB-F632BEF4FC9F}" name="kod.dziedziny" dataDxfId="978"/>
    <tableColumn id="3" xr3:uid="{38584DA0-A1B6-4DD7-B523-E2F9027C94F6}" name="Modul" dataDxfId="977"/>
    <tableColumn id="4" xr3:uid="{3BA4E00B-043B-439F-878A-2446710BAAB7}" name="Umiej.prakt." dataDxfId="976"/>
    <tableColumn id="5" xr3:uid="{3A762CAD-921A-4AC1-90EC-4071CADDCFFB}" name="Nazwa przedmiotu" dataDxfId="975"/>
    <tableColumn id="6" xr3:uid="{148F40A4-2115-47DF-AE0D-08ACB19395BE}" name="Prowadzacy" dataDxfId="974"/>
    <tableColumn id="7" xr3:uid="{EC1DE4B4-1918-4A7A-AF31-EE6CCAD1F003}" name="Forma" dataDxfId="973"/>
    <tableColumn id="8" xr3:uid="{84398018-22ED-4D28-BB24-A6C21BBE25DD}" name="czy.ects" dataDxfId="972"/>
    <tableColumn id="9" xr3:uid="{7E109285-C383-4263-AFCF-4E331188109D}" name="sem1.godziny" dataDxfId="971"/>
    <tableColumn id="10" xr3:uid="{2B3240A1-B1D5-4247-A75D-A3B17E72CDA4}" name="sem1.ects" dataDxfId="970">
      <calculatedColumnFormula array="1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calculatedColumnFormula>
    </tableColumn>
    <tableColumn id="11" xr3:uid="{21C6232F-A60D-4CFE-AD84-D5DBAE9E04E4}" name="sem1.forma" dataDxfId="969"/>
    <tableColumn id="12" xr3:uid="{1BBCC0C6-4820-41D8-85CC-B031AEC3B76F}" name="sem2.godziny" dataDxfId="968"/>
    <tableColumn id="13" xr3:uid="{B518528F-5A81-4A7D-8BCD-83C15AFC1BDB}" name="sem2.ects" dataDxfId="967">
      <calculatedColumnFormula array="1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calculatedColumnFormula>
    </tableColumn>
    <tableColumn id="14" xr3:uid="{DC155B31-9F48-44B2-9E4B-20BB24102BCB}" name="sem2.forma" dataDxfId="966"/>
    <tableColumn id="15" xr3:uid="{2A9AF32D-97AC-46EB-82D8-C6CB29D2DA2F}" name="sem3.godziny" dataDxfId="965"/>
    <tableColumn id="16" xr3:uid="{072ECBAE-7952-4808-A7CA-66FF0B69E56F}" name="sem3.ects" dataDxfId="964">
      <calculatedColumnFormula array="1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calculatedColumnFormula>
    </tableColumn>
    <tableColumn id="17" xr3:uid="{4BB373C6-FF51-4C0C-A059-20AF14B887B2}" name="sem3.forma" dataDxfId="963"/>
    <tableColumn id="18" xr3:uid="{8666970A-113D-4200-B0BE-DAA956BF809D}" name="sem4.godziny" dataDxfId="962"/>
    <tableColumn id="19" xr3:uid="{CF9310E6-1499-4A0C-9821-3BA814AEB48B}" name="sem4.ects" dataDxfId="961">
      <calculatedColumnFormula array="1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calculatedColumnFormula>
    </tableColumn>
    <tableColumn id="20" xr3:uid="{5D704366-1820-454E-8F75-86891708404B}" name="sem4.forma" dataDxfId="960"/>
    <tableColumn id="21" xr3:uid="{D9939453-BF3D-45E2-8726-1D43A68C3BF1}" name="sem5.godziny" dataDxfId="959"/>
    <tableColumn id="22" xr3:uid="{C5B3F10B-0EC7-493A-93A1-C4E5A9636D69}" name="sem5.ects" dataDxfId="958">
      <calculatedColumnFormula array="1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calculatedColumnFormula>
    </tableColumn>
    <tableColumn id="23" xr3:uid="{7D13B8CE-CC9E-4A05-93BF-30E8ED182880}" name="sem5.forma" dataDxfId="957"/>
    <tableColumn id="24" xr3:uid="{E1CC8090-A550-43F1-94E7-6073AEB2FD77}" name="sem6.godziny" dataDxfId="956"/>
    <tableColumn id="25" xr3:uid="{82BB579F-287F-4CC4-A286-4BD44199108D}" name="sem6.ects" dataDxfId="955">
      <calculatedColumnFormula array="1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calculatedColumnFormula>
    </tableColumn>
    <tableColumn id="26" xr3:uid="{52977F7A-FE60-4710-AD74-89811368C602}" name="sem6.forma" dataDxfId="954"/>
    <tableColumn id="27" xr3:uid="{B8D69CF8-4ACA-46B9-89D6-6275DFC112BA}" name="sem7.godziny" dataDxfId="953"/>
    <tableColumn id="28" xr3:uid="{0A32BE21-1BF7-443C-920B-50C7131D39C2}" name="sem7.ects" dataDxfId="952">
      <calculatedColumnFormula array="1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calculatedColumnFormula>
    </tableColumn>
    <tableColumn id="29" xr3:uid="{75E0BABC-6304-4052-900F-93C7F6EEA465}" name="sem7.forma" dataDxfId="951"/>
    <tableColumn id="39" xr3:uid="{D4617D5E-7912-4DF8-8BC5-45706AEE43FD}" name="sem8.godziny" dataDxfId="950"/>
    <tableColumn id="40" xr3:uid="{31D966F2-39BA-401F-A8F0-5403DDC9F895}" name="sem8.ects" dataDxfId="949">
      <calculatedColumnFormula array="1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calculatedColumnFormula>
    </tableColumn>
    <tableColumn id="41" xr3:uid="{C6ACB7A8-CC5A-410C-93C9-5CF5C5599D72}" name="sem8.forma" dataDxfId="948"/>
    <tableColumn id="42" xr3:uid="{718FE4BE-A958-42E6-ACDF-9AD01D653BEC}" name="sem9.godziny" dataDxfId="947"/>
    <tableColumn id="43" xr3:uid="{3DC32A3F-470C-4138-A67F-7A9850804680}" name="sem9.ects" dataDxfId="946">
      <calculatedColumnFormula array="1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calculatedColumnFormula>
    </tableColumn>
    <tableColumn id="44" xr3:uid="{2FAF22B3-81E3-4F7B-A7E3-E962C7817700}" name="sem9.forma" dataDxfId="945"/>
    <tableColumn id="45" xr3:uid="{0AF3FCDA-32FC-42E9-99EA-2F8A6F99E62F}" name="sem10.godziny" dataDxfId="944"/>
    <tableColumn id="46" xr3:uid="{B4731F62-0D7D-4FD6-91FB-CDB022712BF3}" name="sem10.ects" dataDxfId="943">
      <calculatedColumnFormula array="1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calculatedColumnFormula>
    </tableColumn>
    <tableColumn id="47" xr3:uid="{FEFD0127-45E5-49AE-9BEC-C71B6A1BB746}" name="sem10.forma" dataDxfId="942"/>
    <tableColumn id="30" xr3:uid="{F5FC8882-1AA8-44F4-9071-C4F1CD3747B9}" name="ects.razem" dataDxfId="941">
      <calculatedColumnFormula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calculatedColumnFormula>
    </tableColumn>
    <tableColumn id="31" xr3:uid="{E2B7517B-F688-4FFC-B1F0-6A9CDCF3573C}" name="ects.umiej.prakt." dataDxfId="940">
      <calculatedColumnFormula>IF(ISERR(SEARCH("UP",Tabela_kier[[#This Row],[Umiej.prakt.]],1)),0,Tabela_kier[[#This Row],[ects.razem]])</calculatedColumnFormula>
    </tableColumn>
    <tableColumn id="32" xr3:uid="{50034F54-4D16-4479-B5BF-A959CF7B3CCC}" name="ects.bezposr.nauczyciel" dataDxfId="939">
      <calculatedColumnFormula>IF(Tabela_kier[[#This Row],[czy.ects]]="TAK",ROUND((SUM(Tabela_kier[[#This Row],[godziny.konsultacja]],Tabela_kier[[#This Row],[godziny.egzamin]],Tabela_kier[[#This Row],[godziny.zajec.razem]])/25)/0.5,0)*0.5,0)</calculatedColumnFormula>
    </tableColumn>
    <tableColumn id="33" xr3:uid="{7D40FF6C-47D9-48AA-84F1-54CBC2B5A370}" name="godziny.razem.student" dataDxfId="938">
      <calculatedColumnFormula>SUM(Tabela_kier[[#This Row],[godziny.samoksztalcenie]],Tabela_kier[[#This Row],[godziny.konsultacja]],Tabela_kier[[#This Row],[godziny.egzamin]],Tabela_kier[[#This Row],[godziny.zajec.razem]])</calculatedColumnFormula>
    </tableColumn>
    <tableColumn id="34" xr3:uid="{7DC90114-FBFA-4BCB-ACFA-BA0F80C976B3}" name="godziny.samoksztalcenie" dataDxfId="937">
      <calculatedColumnFormula>INT(SUM(Tabela_kier[[#This Row],[godziny.konsultacja]],Tabela_kier[[#This Row],[godziny.egzamin]],Tabela_kier[[#This Row],[godziny.zajec.razem]])*0.5+Tabela_kier[[#This Row],[godziny.zajec.razem]]*(15-$G$194)/9)</calculatedColumnFormula>
    </tableColumn>
    <tableColumn id="35" xr3:uid="{A27AF06E-E45F-4198-B1CD-7A06140B26DF}" name="godziny.konsultacja" dataDxfId="936">
      <calculatedColumnFormula>INT(Tabela_kier[[#This Row],[godziny.zajec.razem]]*0.1)</calculatedColumnFormula>
    </tableColumn>
    <tableColumn id="36" xr3:uid="{91BF3F96-2ED8-4FF2-9359-C39BFF3DA6B5}" name="godziny.egzamin" dataDxfId="935">
      <calculatedColumnFormula>IF(Tabela_kier[[#This Row],[godziny.zajec.razem]]&gt;0,IF(Tabela_kier[[#This Row],[godziny.zajec.razem]]&gt;=45,4,2),0)</calculatedColumnFormula>
    </tableColumn>
    <tableColumn id="37" xr3:uid="{20879F57-EF1D-4BF3-9075-A437C151F98B}" name="godziny.zajec.razem" dataDxfId="934">
      <calculatedColumnFormula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calculatedColumnFormula>
    </tableColumn>
    <tableColumn id="38" xr3:uid="{73864A32-251B-46F1-A093-3B8F6F451CED}" name="ects.bezpos.kontakt.procent" dataDxfId="933">
      <calculatedColumnFormula>IF(Tabela_kier[[#This Row],[ects.bezposr.nauczyciel]],Tabela_kier[[#This Row],[ects.bezposr.nauczyciel]]/Tabela_kier[[#This Row],[ects.razem]],0)</calculatedColumnFormula>
    </tableColumn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F86C50F-4DFD-4F49-8812-995F136A0669}" name="Tabela_SP1" displayName="Tabela_SP1" ref="B88:AV101" totalsRowShown="0" headerRowDxfId="932" dataDxfId="930" headerRowBorderDxfId="931" tableBorderDxfId="929">
  <autoFilter ref="B88:AV101" xr:uid="{3F86C50F-4DFD-4F49-8812-995F136A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156AA734-CE75-40FB-9FA4-318E47F9FC77}" name="kod.isced" dataDxfId="928"/>
    <tableColumn id="2" xr3:uid="{2BAAEC04-5621-4755-A5EA-75B0661543CF}" name="kod.dziedziny" dataDxfId="927"/>
    <tableColumn id="3" xr3:uid="{9430C17D-1403-4E3C-AD6D-58CA21C8A610}" name="Modul" dataDxfId="926"/>
    <tableColumn id="4" xr3:uid="{060D51FF-66A4-49EB-B4A1-1A58F9B2477A}" name="Umiej.prakt." dataDxfId="925"/>
    <tableColumn id="5" xr3:uid="{B2E37746-55EF-4837-9AA5-DB058A6273FC}" name="Nazwa przedmiotu" dataDxfId="924"/>
    <tableColumn id="6" xr3:uid="{A0D9AB72-6524-4962-B5A8-AE9DEAA4D76C}" name="Prowadzacy" dataDxfId="923"/>
    <tableColumn id="7" xr3:uid="{DFF79F15-748B-4540-A603-DA282131AF46}" name="Forma" dataDxfId="922"/>
    <tableColumn id="8" xr3:uid="{BC00471A-C86F-4995-8F5A-C833B4BE2AF8}" name="czy.ects" dataDxfId="921"/>
    <tableColumn id="9" xr3:uid="{02547A06-0497-4455-BD1A-FC3FF9FA54C5}" name="sem1.godziny" dataDxfId="920"/>
    <tableColumn id="10" xr3:uid="{3BAEB3D7-CF25-42A9-B307-C5F6987B9A5B}" name="sem1.ects" dataDxfId="919">
      <calculatedColumnFormula array="1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calculatedColumnFormula>
    </tableColumn>
    <tableColumn id="11" xr3:uid="{B2AF81DD-6F1C-4599-BEDF-5FED915B9673}" name="sem1.forma" dataDxfId="918"/>
    <tableColumn id="12" xr3:uid="{3C753C86-A58C-44E7-8D3B-3ED0A53B5E4D}" name="sem2.godziny" dataDxfId="917"/>
    <tableColumn id="13" xr3:uid="{9FDB8954-20DA-4487-83EB-53F1ED44CB2A}" name="sem2.ects" dataDxfId="916">
      <calculatedColumnFormula array="1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calculatedColumnFormula>
    </tableColumn>
    <tableColumn id="14" xr3:uid="{EFBC7A33-DBBA-4914-A0CA-53FFA867AE2B}" name="sem2.forma" dataDxfId="915"/>
    <tableColumn id="15" xr3:uid="{968779AC-9E23-4D37-A601-8EC5E585466D}" name="sem3.godziny" dataDxfId="914"/>
    <tableColumn id="16" xr3:uid="{4875FF81-B423-491D-8FDE-575A27D7989A}" name="sem3.ects" dataDxfId="913">
      <calculatedColumnFormula array="1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calculatedColumnFormula>
    </tableColumn>
    <tableColumn id="17" xr3:uid="{94F22823-3A2A-46BA-A73A-5B4201493FDA}" name="sem3.forma" dataDxfId="912"/>
    <tableColumn id="18" xr3:uid="{338003C4-3F3F-43E1-8768-CB5FA53C0C59}" name="sem4.godziny" dataDxfId="911"/>
    <tableColumn id="19" xr3:uid="{164F63C3-949A-48E5-A40E-35E87CDF89A1}" name="sem4.ects" dataDxfId="910">
      <calculatedColumnFormula array="1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calculatedColumnFormula>
    </tableColumn>
    <tableColumn id="20" xr3:uid="{466DCCAD-4483-43A7-AB99-235CD934B642}" name="sem4.forma" dataDxfId="909"/>
    <tableColumn id="21" xr3:uid="{BFA8FE18-793E-4163-99EB-79D35F6F0BF2}" name="sem5.godziny" dataDxfId="908"/>
    <tableColumn id="22" xr3:uid="{A29AC4E5-FBEE-4F4D-8EBF-CA8B35A6060F}" name="sem5.ects" dataDxfId="907">
      <calculatedColumnFormula array="1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calculatedColumnFormula>
    </tableColumn>
    <tableColumn id="23" xr3:uid="{2C511334-9DD7-4286-B968-E0A99F19EC22}" name="sem5.forma" dataDxfId="906"/>
    <tableColumn id="24" xr3:uid="{E0822DC1-E8E5-48FB-A228-571CD309580E}" name="sem6.godziny" dataDxfId="905"/>
    <tableColumn id="25" xr3:uid="{ADEB3451-0E98-4B81-AD67-F349DD15164A}" name="sem6.ects" dataDxfId="904">
      <calculatedColumnFormula array="1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calculatedColumnFormula>
    </tableColumn>
    <tableColumn id="26" xr3:uid="{77453B17-DFE4-4A6B-AA84-73ACBD56AF62}" name="sem6.forma" dataDxfId="903"/>
    <tableColumn id="27" xr3:uid="{A9A55F3D-C79E-434E-85FD-61A616EC8A5A}" name="sem7.godziny" dataDxfId="902"/>
    <tableColumn id="28" xr3:uid="{39BFE226-62D9-4538-BC69-9329E176EAAD}" name="sem7.ects" dataDxfId="901">
      <calculatedColumnFormula array="1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calculatedColumnFormula>
    </tableColumn>
    <tableColumn id="29" xr3:uid="{6ECA2E09-367A-4647-A51A-34061C7CAD25}" name="sem7.forma" dataDxfId="900"/>
    <tableColumn id="39" xr3:uid="{05131561-44D2-46B6-8323-B6A2C452CFFF}" name="sem8.godziny" dataDxfId="899"/>
    <tableColumn id="40" xr3:uid="{D74CBF18-19AD-46EB-95D8-D895E2F035EB}" name="sem8.ects" dataDxfId="898">
      <calculatedColumnFormula array="1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calculatedColumnFormula>
    </tableColumn>
    <tableColumn id="41" xr3:uid="{44B7899C-5714-48CF-8BA7-10070F14BB36}" name="sem8.forma" dataDxfId="897"/>
    <tableColumn id="42" xr3:uid="{4B2F90B9-E504-42FF-84B7-3D77CCE9CFA1}" name="sem9.godziny" dataDxfId="896"/>
    <tableColumn id="43" xr3:uid="{20D0A30C-CB48-484B-8093-415EEF729D3E}" name="sem9.ects" dataDxfId="895">
      <calculatedColumnFormula array="1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calculatedColumnFormula>
    </tableColumn>
    <tableColumn id="44" xr3:uid="{8093CE24-73F8-4526-9E02-778260F38288}" name="sem9.forma" dataDxfId="894"/>
    <tableColumn id="45" xr3:uid="{A717DFAE-E6C6-4224-BF04-D4218E0E0873}" name="sem10.godziny" dataDxfId="893"/>
    <tableColumn id="46" xr3:uid="{BE2B829D-2633-462F-91E6-9055ED0AE6F4}" name="sem10.ects" dataDxfId="892">
      <calculatedColumnFormula array="1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calculatedColumnFormula>
    </tableColumn>
    <tableColumn id="47" xr3:uid="{7D576BCB-82D2-4771-9185-6BCDB4566C76}" name="sem10.forma" dataDxfId="891"/>
    <tableColumn id="30" xr3:uid="{6AC5D6EB-80B9-4FF6-8653-1E2E7E959AC6}" name="ects.razem" dataDxfId="890">
      <calculatedColumnFormula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calculatedColumnFormula>
    </tableColumn>
    <tableColumn id="31" xr3:uid="{3AE2D450-4C21-4EA0-BED0-3BFF927475D6}" name="ects.umiej.prakt." dataDxfId="889">
      <calculatedColumnFormula>IF(ISERR(SEARCH("UP",Tabela_SP1[[#This Row],[Umiej.prakt.]],1)),0,Tabela_SP1[[#This Row],[ects.razem]])</calculatedColumnFormula>
    </tableColumn>
    <tableColumn id="32" xr3:uid="{5112A88C-6B2B-44DE-929E-329AD41DDF24}" name="ects.bezposr.nauczyciel" dataDxfId="888">
      <calculatedColumnFormula>IF(Tabela_SP1[[#This Row],[czy.ects]]="TAK",ROUND((SUM(Tabela_SP1[[#This Row],[godziny.konsultacja]],Tabela_SP1[[#This Row],[godziny.egzamin]],Tabela_SP1[[#This Row],[godziny.zajec.razem]])/25)/0.5,0)*0.5,0)</calculatedColumnFormula>
    </tableColumn>
    <tableColumn id="33" xr3:uid="{0D8C15D9-4FC0-43CE-B8CD-6158C5DCEC32}" name="godziny.razem.student" dataDxfId="887">
      <calculatedColumnFormula>SUM(Tabela_SP1[[#This Row],[godziny.samoksztalcenie]],Tabela_SP1[[#This Row],[godziny.konsultacja]],Tabela_SP1[[#This Row],[godziny.egzamin]],Tabela_SP1[[#This Row],[godziny.zajec.razem]])</calculatedColumnFormula>
    </tableColumn>
    <tableColumn id="34" xr3:uid="{FCCA780E-9340-4631-A198-0E9BFADF9B58}" name="godziny.samoksztalcenie" dataDxfId="886">
      <calculatedColumnFormula>INT(SUM(Tabela_SP1[[#This Row],[godziny.konsultacja]],Tabela_SP1[[#This Row],[godziny.egzamin]],Tabela_SP1[[#This Row],[godziny.zajec.razem]])*0.5+Tabela_SP1[[#This Row],[godziny.zajec.razem]]*(15-$G$194)/9)</calculatedColumnFormula>
    </tableColumn>
    <tableColumn id="35" xr3:uid="{ED75F244-B75D-42EB-8D52-5DC6DD33610C}" name="godziny.konsultacja" dataDxfId="885">
      <calculatedColumnFormula>INT(Tabela_SP1[[#This Row],[godziny.zajec.razem]]*0.1)</calculatedColumnFormula>
    </tableColumn>
    <tableColumn id="36" xr3:uid="{C8CD69B5-D43A-44B6-B9BB-EDD199F9E804}" name="godziny.egzamin" dataDxfId="884">
      <calculatedColumnFormula>IF(Tabela_SP1[[#This Row],[godziny.zajec.razem]]&gt;0,IF(Tabela_SP1[[#This Row],[godziny.zajec.razem]]&gt;=45,4,2),0)</calculatedColumnFormula>
    </tableColumn>
    <tableColumn id="37" xr3:uid="{A1F2411A-165A-41E1-9EF8-A415B1A785DD}" name="godziny.zajec.razem" dataDxfId="883">
      <calculatedColumnFormula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calculatedColumnFormula>
    </tableColumn>
    <tableColumn id="38" xr3:uid="{8EA71C55-5F47-4DA4-9FC4-373387B08E2A}" name="ects.bezpos.kontakt.procent" dataDxfId="882">
      <calculatedColumnFormula>IF(Tabela_SP1[[#This Row],[ects.bezposr.nauczyciel]],Tabela_SP1[[#This Row],[ects.bezposr.nauczyciel]]/Tabela_SP1[[#This Row],[ects.razem]],0)</calculatedColumnFormula>
    </tableColumn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16F9DC1-2444-4860-840A-8C00951A8AD8}" name="Tabela_SP2" displayName="Tabela_SP2" ref="B104:AV118" headerRowDxfId="881" dataDxfId="879" totalsRowDxfId="877" headerRowBorderDxfId="880" tableBorderDxfId="878">
  <autoFilter ref="B104:AV118" xr:uid="{F16F9DC1-2444-4860-840A-8C00951A8AD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0A523813-8D58-4220-AD9F-FC294E1AB8AD}" name="kod.isced" totalsRowLabel="Total" dataDxfId="876" totalsRowDxfId="875"/>
    <tableColumn id="2" xr3:uid="{7FFB2604-D769-4012-A902-A25B3848BA74}" name="kod.dziedziny" dataDxfId="874" totalsRowDxfId="873"/>
    <tableColumn id="3" xr3:uid="{85EFFC9D-440F-4CBB-B012-7945F18C6346}" name="Modul" dataDxfId="872"/>
    <tableColumn id="4" xr3:uid="{B2FD7BA9-4371-43CF-B236-36F4350040D8}" name="Umiej.prakt." dataDxfId="871"/>
    <tableColumn id="5" xr3:uid="{998F87C1-F7B6-4966-80D7-3E629588209B}" name="Nazwa przedmiotu" dataDxfId="870"/>
    <tableColumn id="6" xr3:uid="{D5370116-1FAB-4DF9-870A-1115BCC46315}" name="Prowadzacy" dataDxfId="869" totalsRowDxfId="868"/>
    <tableColumn id="7" xr3:uid="{4D58A4BC-1B53-47FF-A6F5-140A28BB58FB}" name="Forma" dataDxfId="867" totalsRowDxfId="866"/>
    <tableColumn id="8" xr3:uid="{C5C1DE9A-9938-4B46-8826-604CE6E38C20}" name="czy.ects" dataDxfId="865" totalsRowDxfId="864"/>
    <tableColumn id="9" xr3:uid="{D3510100-F804-4A38-B639-7F91E5D5B0B4}" name="sem1.godziny" dataDxfId="863" totalsRowDxfId="862"/>
    <tableColumn id="10" xr3:uid="{15899A87-B9E7-4734-8A2A-1BD6D146B523}" name="sem1.ects" dataDxfId="861" totalsRowDxfId="860">
      <calculatedColumnFormula array="1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calculatedColumnFormula>
    </tableColumn>
    <tableColumn id="11" xr3:uid="{5007BBB9-8EE1-4FDF-BFF7-11F4F10B7C4D}" name="sem1.forma" dataDxfId="859" totalsRowDxfId="858"/>
    <tableColumn id="12" xr3:uid="{86E309CF-3BED-452A-A728-2A9DF8C30437}" name="sem2.godziny" dataDxfId="857" totalsRowDxfId="856"/>
    <tableColumn id="13" xr3:uid="{7D6E6F68-F9A0-4C58-852E-96D688F40540}" name="sem2.ects" dataDxfId="855" totalsRowDxfId="854">
      <calculatedColumnFormula array="1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calculatedColumnFormula>
    </tableColumn>
    <tableColumn id="14" xr3:uid="{04CC9CE0-6F45-41FB-B446-BD4FD26AF071}" name="sem2.forma" dataDxfId="853" totalsRowDxfId="852"/>
    <tableColumn id="15" xr3:uid="{3BEA11D5-B261-462B-BA6A-41C6C869CC65}" name="sem3.godziny" dataDxfId="851" totalsRowDxfId="850"/>
    <tableColumn id="16" xr3:uid="{0968CAAD-E5D5-477E-850B-D5218E5C987B}" name="sem3.ects" dataDxfId="849" totalsRowDxfId="848">
      <calculatedColumnFormula array="1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calculatedColumnFormula>
    </tableColumn>
    <tableColumn id="17" xr3:uid="{1E4075F7-436C-4BEC-A208-F6264135E77B}" name="sem3.forma" dataDxfId="847" totalsRowDxfId="846"/>
    <tableColumn id="18" xr3:uid="{FB6096B4-4877-4DD4-B66F-A5DE022B8F25}" name="sem4.godziny" dataDxfId="845" totalsRowDxfId="844"/>
    <tableColumn id="19" xr3:uid="{869B15DB-DC1A-4103-A488-90F3515CCEE1}" name="sem4.ects" dataDxfId="843" totalsRowDxfId="842">
      <calculatedColumnFormula array="1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calculatedColumnFormula>
    </tableColumn>
    <tableColumn id="20" xr3:uid="{6FC20007-0BFD-413B-8431-819FDF7A6073}" name="sem4.forma" dataDxfId="841" totalsRowDxfId="840"/>
    <tableColumn id="21" xr3:uid="{77724410-BFB4-4F50-8F2F-C31A842904EF}" name="sem5.godziny" dataDxfId="839" totalsRowDxfId="838"/>
    <tableColumn id="22" xr3:uid="{A90636A8-26AC-4B84-91AC-FA45584DE048}" name="sem5.ects" dataDxfId="837" totalsRowDxfId="836">
      <calculatedColumnFormula array="1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calculatedColumnFormula>
    </tableColumn>
    <tableColumn id="23" xr3:uid="{84E64E34-A979-4BC6-8836-244EF5DB13EA}" name="sem5.forma" dataDxfId="835" totalsRowDxfId="834"/>
    <tableColumn id="24" xr3:uid="{2B0BB883-0B58-4F03-B033-5CF08D200F6F}" name="sem6.godziny" dataDxfId="833" totalsRowDxfId="832"/>
    <tableColumn id="25" xr3:uid="{AA140D8C-C311-4700-B65E-6C8C90A66892}" name="sem6.ects" dataDxfId="831" totalsRowDxfId="830">
      <calculatedColumnFormula array="1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calculatedColumnFormula>
    </tableColumn>
    <tableColumn id="26" xr3:uid="{E9E510EA-77B6-4DCD-AA57-1B6DC528F81F}" name="sem6.forma" dataDxfId="829" totalsRowDxfId="828"/>
    <tableColumn id="27" xr3:uid="{D38CC7AD-4837-4BB2-A938-331803F5E208}" name="sem7.godziny" dataDxfId="827" totalsRowDxfId="826"/>
    <tableColumn id="28" xr3:uid="{8C1E94F9-21D7-438A-B184-433705919654}" name="sem7.ects" dataDxfId="825" totalsRowDxfId="824">
      <calculatedColumnFormula array="1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calculatedColumnFormula>
    </tableColumn>
    <tableColumn id="29" xr3:uid="{BFF6AE86-3884-40B6-8C74-37869DC018AD}" name="sem7.forma" dataDxfId="823" totalsRowDxfId="822"/>
    <tableColumn id="39" xr3:uid="{6CEC25DF-246F-4811-88BA-ABC5528D5C5B}" name="sem8.godziny" dataDxfId="821" totalsRowDxfId="820"/>
    <tableColumn id="40" xr3:uid="{E60BD1C8-02DA-4D9E-AEB1-E1054D37F671}" name="sem8.ects" dataDxfId="819" totalsRowDxfId="818">
      <calculatedColumnFormula array="1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calculatedColumnFormula>
    </tableColumn>
    <tableColumn id="41" xr3:uid="{61FA10EE-DB96-4CF7-847C-00C56857E946}" name="sem8.forma" dataDxfId="817" totalsRowDxfId="816"/>
    <tableColumn id="42" xr3:uid="{66407EBA-ABAE-4A14-ADA5-0BC36F9F2FC5}" name="sem9.godziny" dataDxfId="815" totalsRowDxfId="814"/>
    <tableColumn id="43" xr3:uid="{66203E10-9EDE-4C0C-8ABF-DA730D2633D6}" name="sem9.ects" dataDxfId="813" totalsRowDxfId="812">
      <calculatedColumnFormula array="1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calculatedColumnFormula>
    </tableColumn>
    <tableColumn id="44" xr3:uid="{26D53576-5D0C-4073-B2B7-9ADBCE7E8183}" name="sem9.forma" dataDxfId="811" totalsRowDxfId="810"/>
    <tableColumn id="45" xr3:uid="{7AC8331F-F0F9-4B7E-B70C-5DB2DAE2BB3F}" name="sem10.godziny" dataDxfId="809" totalsRowDxfId="808"/>
    <tableColumn id="46" xr3:uid="{541859E8-C003-4BC0-9184-359B88B963D6}" name="sem10.ects" dataDxfId="807" totalsRowDxfId="806">
      <calculatedColumnFormula array="1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calculatedColumnFormula>
    </tableColumn>
    <tableColumn id="47" xr3:uid="{01591A6D-CA74-43B6-9503-A0A6A95B97E7}" name="sem10.forma" dataDxfId="805" totalsRowDxfId="804"/>
    <tableColumn id="30" xr3:uid="{B26CD03C-1AFB-4CBC-8DD0-3204E26B4B49}" name="ects.razem" dataDxfId="803" totalsRowDxfId="802">
      <calculatedColumnFormula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calculatedColumnFormula>
    </tableColumn>
    <tableColumn id="31" xr3:uid="{14FC3865-6A14-43EC-8835-FAB4D696DAAD}" name="ects.umiej.prakt." dataDxfId="801" totalsRowDxfId="800">
      <calculatedColumnFormula>IF(ISERR(SEARCH("UP",Tabela_SP2[[#This Row],[Umiej.prakt.]],1)),0,Tabela_SP2[[#This Row],[ects.razem]])</calculatedColumnFormula>
    </tableColumn>
    <tableColumn id="32" xr3:uid="{84E8261F-DE69-4156-A4BC-FA4D9590A5ED}" name="ects.bezposr.nauczyciel" dataDxfId="799" totalsRowDxfId="798">
      <calculatedColumnFormula>IF(Tabela_SP2[[#This Row],[czy.ects]]="TAK",ROUND((SUM(Tabela_SP2[[#This Row],[godziny.konsultacja]],Tabela_SP2[[#This Row],[godziny.egzamin]],Tabela_SP2[[#This Row],[godziny.zajec.razem]])/25)/0.5,0)*0.5,0)</calculatedColumnFormula>
    </tableColumn>
    <tableColumn id="33" xr3:uid="{EE5CD975-86E7-436C-A157-8A06EE4DC917}" name="godziny.razem.student" dataDxfId="797" totalsRowDxfId="796">
      <calculatedColumnFormula>SUM(Tabela_SP2[[#This Row],[godziny.samoksztalcenie]],Tabela_SP2[[#This Row],[godziny.konsultacja]],Tabela_SP2[[#This Row],[godziny.egzamin]],Tabela_SP2[[#This Row],[godziny.zajec.razem]])</calculatedColumnFormula>
    </tableColumn>
    <tableColumn id="34" xr3:uid="{7EDB91E0-C2D2-4440-A65D-588CFF53A1B6}" name="godziny.samoksztalcenie" dataDxfId="795" totalsRowDxfId="794">
      <calculatedColumnFormula>INT(SUM(Tabela_SP2[[#This Row],[godziny.konsultacja]],Tabela_SP2[[#This Row],[godziny.egzamin]],Tabela_SP2[[#This Row],[godziny.zajec.razem]])*0.5+Tabela_SP2[[#This Row],[godziny.zajec.razem]]*(15-$G$194)/9)</calculatedColumnFormula>
    </tableColumn>
    <tableColumn id="35" xr3:uid="{CA411995-6A6A-4DEC-BBD4-BE11B5F318F5}" name="godziny.konsultacja" dataDxfId="793" totalsRowDxfId="792">
      <calculatedColumnFormula>INT(Tabela_SP2[[#This Row],[godziny.zajec.razem]]*0.1)</calculatedColumnFormula>
    </tableColumn>
    <tableColumn id="36" xr3:uid="{86949A7B-41F9-4DE7-B78D-B073E7760DC0}" name="godziny.egzamin" dataDxfId="791" totalsRowDxfId="790">
      <calculatedColumnFormula>IF(Tabela_SP2[[#This Row],[godziny.zajec.razem]]&gt;0,IF(Tabela_SP2[[#This Row],[godziny.zajec.razem]]&gt;=45,4,2),0)</calculatedColumnFormula>
    </tableColumn>
    <tableColumn id="37" xr3:uid="{8D5974A9-ED5D-403C-B66E-ACF0DD221B84}" name="godziny.zajec.razem" dataDxfId="789" totalsRowDxfId="788">
      <calculatedColumnFormula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calculatedColumnFormula>
    </tableColumn>
    <tableColumn id="38" xr3:uid="{925C9FF0-1A44-4189-AB18-CDE6AA4B819F}" name="ects.bezpos.kontakt.procent" totalsRowFunction="sum" dataDxfId="787" totalsRowDxfId="786">
      <calculatedColumnFormula>IF(Tabela_SP2[[#This Row],[ects.bezposr.nauczyciel]],Tabela_SP2[[#This Row],[ects.bezposr.nauczyciel]]/Tabela_SP2[[#This Row],[ects.razem]],0)</calculatedColumnFormula>
    </tableColumn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0B6D12-D2CC-4308-BCC9-DB8FEC0CCEF5}" name="Tabela_ogolne" displayName="Tabela_ogolne" ref="B16:AV24" totalsRowShown="0" headerRowDxfId="785" dataDxfId="783" headerRowBorderDxfId="784" tableBorderDxfId="782" totalsRowBorderDxfId="781">
  <autoFilter ref="B16:AV24" xr:uid="{B20B6D12-D2CC-4308-BCC9-DB8FEC0CCEF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909B4F58-A05D-4054-87CB-24A7BFE934E2}" name="kod.isced" dataDxfId="780"/>
    <tableColumn id="2" xr3:uid="{64C21D45-DE5D-49F6-B82D-2FF0E33F205B}" name="kod.dziedziny" dataDxfId="779"/>
    <tableColumn id="3" xr3:uid="{6A8707EB-D12A-46E5-AA25-C90426AC01EA}" name="Modul" dataDxfId="778"/>
    <tableColumn id="4" xr3:uid="{3E4ED1C1-1EA8-42A7-A5B9-1B4686198693}" name="Umiej.prakt." dataDxfId="777"/>
    <tableColumn id="5" xr3:uid="{3BBDEFB4-EF04-4D9E-986E-C4FEE08795BA}" name="Nazwa przedmiotu" dataDxfId="776"/>
    <tableColumn id="6" xr3:uid="{957C6DC9-A99B-47BC-A0EA-E20BF63B630E}" name="Prowadzacy" dataDxfId="775"/>
    <tableColumn id="7" xr3:uid="{28A7B3F6-BC4A-4EAD-9A13-6F6823DED114}" name="Forma" dataDxfId="774"/>
    <tableColumn id="8" xr3:uid="{782C5050-9BA6-477F-B645-0EA50D77689E}" name="czy.ects" dataDxfId="773"/>
    <tableColumn id="9" xr3:uid="{CB94D2EC-9A82-47F0-B890-40DB8CBF80F2}" name="sem1.godziny" dataDxfId="772"/>
    <tableColumn id="10" xr3:uid="{DA2D35AA-9702-47CB-AC5B-38742FD5F855}" name="sem1.ects" dataDxfId="771">
      <calculatedColumnFormula array="1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calculatedColumnFormula>
    </tableColumn>
    <tableColumn id="11" xr3:uid="{6293D82B-19EF-4A51-B3C2-BF707522F7EC}" name="sem1.forma" dataDxfId="770"/>
    <tableColumn id="12" xr3:uid="{B73849E3-2624-4FAC-BF49-AE091BFF9292}" name="sem2.godziny" dataDxfId="769"/>
    <tableColumn id="13" xr3:uid="{D29BB309-C8D9-461D-9E45-00D1E441ED76}" name="sem2.ects" dataDxfId="768">
      <calculatedColumnFormula array="1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calculatedColumnFormula>
    </tableColumn>
    <tableColumn id="14" xr3:uid="{BD12B654-B776-41DE-97F4-B4E3CA54AD44}" name="sem2.forma" dataDxfId="767"/>
    <tableColumn id="15" xr3:uid="{E6236CA3-4274-4D8E-B967-BD64B46E0A4B}" name="sem3.godziny" dataDxfId="766"/>
    <tableColumn id="16" xr3:uid="{A009617C-8689-40B4-8E7A-3D24AED59ECE}" name="sem3.ects" dataDxfId="765">
      <calculatedColumnFormula array="1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calculatedColumnFormula>
    </tableColumn>
    <tableColumn id="17" xr3:uid="{16CCB2E4-2EF2-40E8-8097-4664A92F06BE}" name="sem3.forma" dataDxfId="764"/>
    <tableColumn id="18" xr3:uid="{32BCB365-AABE-4C6F-BB7E-D9F9DB667ADA}" name="sem4.godziny" dataDxfId="763"/>
    <tableColumn id="19" xr3:uid="{16A10803-9268-49E5-A5FA-F7F8895B16BB}" name="sem4.ects" dataDxfId="762">
      <calculatedColumnFormula array="1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calculatedColumnFormula>
    </tableColumn>
    <tableColumn id="20" xr3:uid="{D2D4E33C-42E8-4B04-B5EE-C2C2E52CDB51}" name="sem4.forma" dataDxfId="761"/>
    <tableColumn id="21" xr3:uid="{4D20D3AB-EE9B-436A-BB23-5CB727B99A2C}" name="sem5.godziny" dataDxfId="760"/>
    <tableColumn id="22" xr3:uid="{C9913AF6-A9B4-4DBC-A47E-EE88227638F8}" name="sem5.ects" dataDxfId="759">
      <calculatedColumnFormula array="1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calculatedColumnFormula>
    </tableColumn>
    <tableColumn id="23" xr3:uid="{BD7EB2EC-6D91-4DD2-BAA0-B0B94AE9AEB2}" name="sem5.forma" dataDxfId="758"/>
    <tableColumn id="24" xr3:uid="{31C3821F-4650-499B-8025-88FA00373920}" name="sem6.godziny" dataDxfId="757"/>
    <tableColumn id="25" xr3:uid="{13ECF937-7E96-43C5-8630-B3DCB3CD31EA}" name="sem6.ects" dataDxfId="756">
      <calculatedColumnFormula array="1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calculatedColumnFormula>
    </tableColumn>
    <tableColumn id="26" xr3:uid="{C3D2F619-6DB1-49DB-B61E-07B1C1F2F111}" name="sem6.forma" dataDxfId="755"/>
    <tableColumn id="27" xr3:uid="{80F086BE-5394-4403-8A5C-F18E615BF5B7}" name="sem7.godziny" dataDxfId="754"/>
    <tableColumn id="28" xr3:uid="{F0C04BF2-7064-4741-B6C6-BF941CB861F2}" name="sem7.ects" dataDxfId="753">
      <calculatedColumnFormula array="1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calculatedColumnFormula>
    </tableColumn>
    <tableColumn id="29" xr3:uid="{26353C05-9B53-4784-8ECF-3FE30ADD4A63}" name="sem7.forma" dataDxfId="752"/>
    <tableColumn id="39" xr3:uid="{C7E063E0-6820-4A17-B740-CFAA8E80D0E7}" name="sem8.godziny" dataDxfId="751"/>
    <tableColumn id="40" xr3:uid="{501B79D3-A191-47EF-9209-F2D9B4529CDF}" name="sem8.ects" dataDxfId="750">
      <calculatedColumnFormula array="1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calculatedColumnFormula>
    </tableColumn>
    <tableColumn id="41" xr3:uid="{05C227DF-AF97-4036-970E-1F73B4FB5552}" name="sem8.forma" dataDxfId="749"/>
    <tableColumn id="42" xr3:uid="{03B55469-39E2-42D9-869C-E2A2A32306F9}" name="sem9.godziny" dataDxfId="748"/>
    <tableColumn id="43" xr3:uid="{4A71460A-AB8B-4705-8535-FF35E0F6EFD2}" name="sem9.ects" dataDxfId="747">
      <calculatedColumnFormula array="1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calculatedColumnFormula>
    </tableColumn>
    <tableColumn id="44" xr3:uid="{8B2167C2-27A5-4D5B-9633-669090C602B5}" name="sem9.forma" dataDxfId="746"/>
    <tableColumn id="45" xr3:uid="{D20EB725-F0ED-4980-8C9B-8033EC22F1CC}" name="sem10.godziny" dataDxfId="745"/>
    <tableColumn id="46" xr3:uid="{C47F4548-8BFC-4AD6-920F-16EA8553E5A3}" name="sem10.ects" dataDxfId="744">
      <calculatedColumnFormula array="1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calculatedColumnFormula>
    </tableColumn>
    <tableColumn id="47" xr3:uid="{46DFF1FE-D0D4-4FB3-AFC5-CA3E0C5B8B77}" name="sem10.forma" dataDxfId="743"/>
    <tableColumn id="30" xr3:uid="{98C93807-0CE9-41C6-977E-53B21B25594A}" name="ects.razem" dataDxfId="742">
      <calculatedColumnFormula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calculatedColumnFormula>
    </tableColumn>
    <tableColumn id="31" xr3:uid="{6A2273D4-2060-485C-ADD1-03A79276D21D}" name="ects.umiej.prakt." dataDxfId="741">
      <calculatedColumnFormula>IF(ISERR(SEARCH("UP",Tabela_ogolne[[#This Row],[Umiej.prakt.]],1)),0,Tabela_ogolne[[#This Row],[ects.razem]])</calculatedColumnFormula>
    </tableColumn>
    <tableColumn id="32" xr3:uid="{A24BDF5F-7C86-409A-B250-2E0EE3982859}" name="ects.bezposr.nauczyciel" dataDxfId="740">
      <calculatedColumnFormula>IF(Tabela_ogolne[[#This Row],[czy.ects]]="TAK",ROUND((SUM(Tabela_ogolne[[#This Row],[godziny.konsultacja]],Tabela_ogolne[[#This Row],[godziny.egzamin]],Tabela_ogolne[[#This Row],[godziny.zajec.razem]])/25)/0.5,0)*0.5,0)</calculatedColumnFormula>
    </tableColumn>
    <tableColumn id="33" xr3:uid="{398164FF-6D45-449A-B462-73F76C60F9FC}" name="godziny.razem.student" dataDxfId="739">
      <calculatedColumnFormula>SUM(Tabela_ogolne[[#This Row],[godziny.samoksztalcenie]],Tabela_ogolne[[#This Row],[godziny.konsultacja]],Tabela_ogolne[[#This Row],[godziny.egzamin]],Tabela_ogolne[[#This Row],[godziny.zajec.razem]])</calculatedColumnFormula>
    </tableColumn>
    <tableColumn id="34" xr3:uid="{BBBA97F7-257A-40B4-9BEE-606CB3ECE92A}" name="godziny.samoksztalcenie" dataDxfId="738">
      <calculatedColumnFormula>INT(SUM(Tabela_ogolne[[#This Row],[godziny.konsultacja]],Tabela_ogolne[[#This Row],[godziny.egzamin]],Tabela_ogolne[[#This Row],[godziny.zajec.razem]])*0.5+Tabela_ogolne[[#This Row],[godziny.zajec.razem]]*(15-$G$191)/9)</calculatedColumnFormula>
    </tableColumn>
    <tableColumn id="35" xr3:uid="{6DD0C64F-B09C-4EA6-801F-66B835EBE72E}" name="godziny.konsultacja" dataDxfId="737">
      <calculatedColumnFormula>INT(Tabela_ogolne[[#This Row],[godziny.zajec.razem]]*0.1)</calculatedColumnFormula>
    </tableColumn>
    <tableColumn id="36" xr3:uid="{BAC4A96A-A27F-455B-9D50-4198D99EF5E6}" name="godziny.egzamin" dataDxfId="736">
      <calculatedColumnFormula>IF(Tabela_ogolne[[#This Row],[godziny.zajec.razem]]&gt;0,IF(Tabela_ogolne[[#This Row],[godziny.zajec.razem]]&gt;=45,4,2),0)</calculatedColumnFormula>
    </tableColumn>
    <tableColumn id="37" xr3:uid="{A265F441-FE98-44D1-8842-13DA6BC7F8AB}" name="godziny.zajec.razem" dataDxfId="735">
      <calculatedColumnFormula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calculatedColumnFormula>
    </tableColumn>
    <tableColumn id="38" xr3:uid="{737B9607-06FF-4BE5-BD00-2001FCAB91A8}" name="ects.bezpos.kontakt.procent" dataDxfId="734">
      <calculatedColumnFormula>IF(Tabela_ogolne[[#This Row],[ects.bezposr.nauczyciel]],Tabela_ogolne[[#This Row],[ects.bezposr.nauczyciel]]/Tabela_ogolne[[#This Row],[ects.razem]],0)</calculatedColumnFormula>
    </tableColumn>
  </tableColumns>
  <tableStyleInfo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DAA4B13-8A2B-4C9D-BA5C-AA6D8C9C8CCC}" name="Tabela_do_wyboru" displayName="Tabela_do_wyboru" ref="B80:AV85" totalsRowShown="0" headerRowDxfId="733" dataDxfId="731" headerRowBorderDxfId="732" tableBorderDxfId="730" totalsRowBorderDxfId="729">
  <autoFilter ref="B80:AV85" xr:uid="{1DAA4B13-8A2B-4C9D-BA5C-AA6D8C9C8CCC}"/>
  <tableColumns count="47">
    <tableColumn id="1" xr3:uid="{FBEE2073-05D0-476D-A145-18493FF91B3A}" name="kod.isced" dataDxfId="728"/>
    <tableColumn id="2" xr3:uid="{C35E57BF-32A2-407D-8055-481A34D8B160}" name="kod.dziedziny" dataDxfId="727"/>
    <tableColumn id="3" xr3:uid="{4CF2A1F6-AA51-4945-898B-EDC921CAC8E9}" name="Modul" dataDxfId="726"/>
    <tableColumn id="4" xr3:uid="{54779A7C-C8DD-4C63-897F-F28C14597E1F}" name="Umiej.prakt." dataDxfId="725"/>
    <tableColumn id="5" xr3:uid="{88A0094B-00FC-4519-8F5D-F90EB11978A5}" name="Nazwa przedmiotu" dataDxfId="724"/>
    <tableColumn id="6" xr3:uid="{36750045-4FD8-42A9-BE15-15A14B05A8FB}" name="Prowadzacy" dataDxfId="723"/>
    <tableColumn id="7" xr3:uid="{E1F50B1B-E90C-4117-A2F7-C478ED4B8D9C}" name="Forma" dataDxfId="722"/>
    <tableColumn id="8" xr3:uid="{4F26BAD1-F70F-46DA-AA11-A61A1F3E4DF4}" name="czy.ects" dataDxfId="721"/>
    <tableColumn id="9" xr3:uid="{F10589FE-7B21-4053-8731-E31EE51AA58E}" name="sem1.godziny" dataDxfId="720"/>
    <tableColumn id="10" xr3:uid="{03F4A3C7-FD57-49C0-96F4-4D6F3A5E4B0D}" name="sem1.ects" dataDxfId="719"/>
    <tableColumn id="11" xr3:uid="{5FE8B0F7-8BBD-4B12-8E50-0A9962DEB48A}" name="sem1.forma" dataDxfId="718"/>
    <tableColumn id="12" xr3:uid="{9BE8E0AD-7A7A-4088-88F6-CB9BE0BFF52D}" name="sem2.godziny" dataDxfId="717"/>
    <tableColumn id="13" xr3:uid="{A0E126C1-0E5E-40B0-B862-7996B25E6977}" name="sem2.ects" dataDxfId="716"/>
    <tableColumn id="14" xr3:uid="{DAD7802D-9C88-48C2-A67A-BFD4FA7AD5DE}" name="sem2.forma" dataDxfId="715"/>
    <tableColumn id="15" xr3:uid="{90FAC9C5-608E-4DA4-BAAE-92BB36F49E9E}" name="sem3.godziny" dataDxfId="714"/>
    <tableColumn id="16" xr3:uid="{2F0D4086-9DEB-48CC-A0DA-A1C959364CB5}" name="sem3.ects" dataDxfId="713"/>
    <tableColumn id="17" xr3:uid="{3009A028-ABE7-4E47-A811-52B302ABF1BC}" name="sem3.forma" dataDxfId="712"/>
    <tableColumn id="18" xr3:uid="{D9AE1139-9571-46AF-ABB2-3CE54ABB4407}" name="sem4.godziny" dataDxfId="711"/>
    <tableColumn id="19" xr3:uid="{7BDB8971-2DB4-43DD-8B8C-77E0E8D48501}" name="sem4.ects" dataDxfId="710"/>
    <tableColumn id="20" xr3:uid="{DF6EA385-75FB-4E24-A0A3-0F7E3822BCDD}" name="sem4.forma" dataDxfId="709"/>
    <tableColumn id="21" xr3:uid="{77270DE1-1DC3-4683-B960-C6755FD5A789}" name="sem5.godziny" dataDxfId="708"/>
    <tableColumn id="22" xr3:uid="{F4ED7A6C-C685-42F8-9899-E44CA7FFB5F7}" name="sem5.ects" dataDxfId="707"/>
    <tableColumn id="23" xr3:uid="{48691647-96AE-49BB-809F-7B2CFC4B1FE5}" name="sem5.forma" dataDxfId="706"/>
    <tableColumn id="24" xr3:uid="{9A78530D-F412-42F7-BE2F-DAC8FAD7EEEA}" name="sem6.godziny" dataDxfId="705"/>
    <tableColumn id="25" xr3:uid="{2FF0A237-CBE5-47FF-9FCE-3C6D26DDD958}" name="sem6.ects" dataDxfId="704"/>
    <tableColumn id="26" xr3:uid="{CE978D81-DA5C-4C9C-B7DA-DCA87BF8FD2D}" name="sem6.forma" dataDxfId="703"/>
    <tableColumn id="27" xr3:uid="{D5C3F32D-7974-411A-A374-1D8EFC563D93}" name="sem7.godziny" dataDxfId="702"/>
    <tableColumn id="28" xr3:uid="{454F56EC-CB1B-42E3-BEDC-A0A23ACE7C32}" name="sem7.ects" dataDxfId="701">
      <calculatedColumnFormula array="1">IF(Tabela_do_wyboru[[#This Row],[czy.ects]]="TAK",_xlfn.IFS(AND(Tabela_do_wyboru[[#This Row],[sem7.godziny]]&gt;=$Q$191,Tabela_do_wyboru[[#This Row],[sem7.forma]]="z"),8,AND(Tabela_do_wyboru[[#This Row],[sem7.godziny]]&gt;=$I$191,Tabela_do_wyboru[[#This Row],[sem7.forma]]="z"),4,AND(Tabela_do_wyboru[[#This Row],[sem7.godziny]]&gt;=$H$191,Tabela_do_wyboru[[#This Row],[sem7.forma]]="e"),2,AND(Tabela_do_wyboru[[#This Row],[sem7.godziny]]&lt;$H$191,Tabela_do_wyboru[[#This Row],[sem7.forma]]="e"),1,AND(Tabela_do_wyboru[[#This Row],[sem7.godziny]]&gt;=$H$191,Tabela_do_wyboru[[#This Row],[sem7.forma]]="z"),2,AND(Tabela_do_wyboru[[#This Row],[sem7.godziny]]&lt;$H$191,Tabela_do_wyboru[[#This Row],[sem7.forma]]="z"),1,TRUE,""),"")</calculatedColumnFormula>
    </tableColumn>
    <tableColumn id="29" xr3:uid="{F04A7BA2-7B36-43C3-9BF0-C8C81FA5D570}" name="sem7.forma" dataDxfId="700"/>
    <tableColumn id="39" xr3:uid="{3F88C058-2BF1-4A38-82E6-E53DA755D0D7}" name="sem8.godziny" dataDxfId="699"/>
    <tableColumn id="40" xr3:uid="{B02E0E4C-4886-47E0-93E2-9B2C679DB9D7}" name="sem8.ects" dataDxfId="698">
      <calculatedColumnFormula array="1">IF(Tabela_do_wyboru[[#This Row],[czy.ects]]="TAK",_xlfn.IFS(AND(Tabela_do_wyboru[[#This Row],[sem8.godziny]]&gt;=$Q$191,Tabela_do_wyboru[[#This Row],[sem8.forma]]="z"),8,AND(Tabela_do_wyboru[[#This Row],[sem8.godziny]]&gt;=$I$191,Tabela_do_wyboru[[#This Row],[sem8.forma]]="z"),4,AND(Tabela_do_wyboru[[#This Row],[sem8.godziny]]&gt;=$H$191,Tabela_do_wyboru[[#This Row],[sem8.forma]]="e"),2,AND(Tabela_do_wyboru[[#This Row],[sem8.godziny]]&lt;$H$191,Tabela_do_wyboru[[#This Row],[sem8.forma]]="e"),1,AND(Tabela_do_wyboru[[#This Row],[sem8.godziny]]&gt;=$H$191,Tabela_do_wyboru[[#This Row],[sem8.forma]]="z"),2,AND(Tabela_do_wyboru[[#This Row],[sem8.godziny]]&lt;$H$191,Tabela_do_wyboru[[#This Row],[sem8.forma]]="z"),1,TRUE,""),"")</calculatedColumnFormula>
    </tableColumn>
    <tableColumn id="41" xr3:uid="{8FE803FA-F9DA-434B-9145-A8E07FF94B93}" name="sem8.forma" dataDxfId="697"/>
    <tableColumn id="42" xr3:uid="{E131DB18-88E8-4089-AB03-4BA67775F9BF}" name="sem9.godziny" dataDxfId="696"/>
    <tableColumn id="43" xr3:uid="{1BADCF6C-7624-45C6-A271-835AC23E1103}" name="sem9.ects" dataDxfId="695">
      <calculatedColumnFormula array="1">IF(Tabela_do_wyboru[[#This Row],[czy.ects]]="TAK",_xlfn.IFS(AND(Tabela_do_wyboru[[#This Row],[sem9.godziny]]&gt;=$Q$191,Tabela_do_wyboru[[#This Row],[sem9.forma]]="z"),8,AND(Tabela_do_wyboru[[#This Row],[sem9.godziny]]&gt;=$I$191,Tabela_do_wyboru[[#This Row],[sem9.forma]]="z"),4,AND(Tabela_do_wyboru[[#This Row],[sem9.godziny]]&gt;=$H$191,Tabela_do_wyboru[[#This Row],[sem9.forma]]="e"),2,AND(Tabela_do_wyboru[[#This Row],[sem9.godziny]]&lt;$H$191,Tabela_do_wyboru[[#This Row],[sem9.forma]]="e"),1,AND(Tabela_do_wyboru[[#This Row],[sem9.godziny]]&gt;=$H$191,Tabela_do_wyboru[[#This Row],[sem9.forma]]="z"),2,AND(Tabela_do_wyboru[[#This Row],[sem9.godziny]]&lt;$H$191,Tabela_do_wyboru[[#This Row],[sem9.forma]]="z"),1,TRUE,""),"")</calculatedColumnFormula>
    </tableColumn>
    <tableColumn id="44" xr3:uid="{D5BFF17C-A2AF-438C-9899-8C64A0C34EF0}" name="sem9.forma" dataDxfId="694"/>
    <tableColumn id="45" xr3:uid="{85BE471B-9F4C-47F0-A35F-86B59DCD9F73}" name="sem10.godziny" dataDxfId="693"/>
    <tableColumn id="46" xr3:uid="{39E3F31F-78B9-4208-A745-B1CF487955D4}" name="sem10.ects" dataDxfId="692">
      <calculatedColumnFormula array="1">IF(Tabela_do_wyboru[[#This Row],[czy.ects]]="TAK",_xlfn.IFS(AND(Tabela_do_wyboru[[#This Row],[sem10.godziny]]&gt;=$Q$191,Tabela_do_wyboru[[#This Row],[sem10.forma]]="z"),8,AND(Tabela_do_wyboru[[#This Row],[sem10.godziny]]&gt;=$I$191,Tabela_do_wyboru[[#This Row],[sem10.forma]]="z"),4,AND(Tabela_do_wyboru[[#This Row],[sem10.godziny]]&gt;=$H$191,Tabela_do_wyboru[[#This Row],[sem10.forma]]="e"),2,AND(Tabela_do_wyboru[[#This Row],[sem10.godziny]]&lt;$H$191,Tabela_do_wyboru[[#This Row],[sem10.forma]]="e"),1,AND(Tabela_do_wyboru[[#This Row],[sem10.godziny]]&gt;=$H$191,Tabela_do_wyboru[[#This Row],[sem10.forma]]="z"),2,AND(Tabela_do_wyboru[[#This Row],[sem10.godziny]]&lt;$H$191,Tabela_do_wyboru[[#This Row],[sem10.forma]]="z"),1,TRUE,""),"")</calculatedColumnFormula>
    </tableColumn>
    <tableColumn id="47" xr3:uid="{E4662253-81EA-447B-8DCE-7F892397DEA6}" name="sem10.forma" dataDxfId="691"/>
    <tableColumn id="30" xr3:uid="{46B080D5-6680-47C2-82D4-253DC65872AB}" name="ects.razem" dataDxfId="690">
      <calculatedColumnFormula>SUM(Tabela_do_wyboru[[#This Row],[sem1.ects]],Tabela_do_wyboru[[#This Row],[sem2.ects]],Tabela_do_wyboru[[#This Row],[sem3.ects]],Tabela_do_wyboru[[#This Row],[sem4.ects]],Tabela_do_wyboru[[#This Row],[sem5.ects]],Tabela_do_wyboru[[#This Row],[sem6.ects]],Tabela_do_wyboru[[#This Row],[sem7.ects]],Tabela_do_wyboru[[#This Row],[sem8.ects]],Tabela_do_wyboru[[#This Row],[sem9.ects]],Tabela_do_wyboru[[#This Row],[sem10.ects]])</calculatedColumnFormula>
    </tableColumn>
    <tableColumn id="31" xr3:uid="{6985F1B3-75EF-4AC1-AC1D-85B0C9742813}" name="ects.umiej.prakt." dataDxfId="689">
      <calculatedColumnFormula>IF(ISERR(SEARCH("UP",Tabela_do_wyboru[[#This Row],[Umiej.prakt.]],1)),0,Tabela_do_wyboru[[#This Row],[ects.razem]])</calculatedColumnFormula>
    </tableColumn>
    <tableColumn id="32" xr3:uid="{EAA4696D-479E-4E07-9237-1765BAB49E12}" name="ects.bezposr.nauczyciel" dataDxfId="688">
      <calculatedColumnFormula>IF(Tabela_do_wyboru[[#This Row],[czy.ects]]="TAK",ROUND((SUM(Tabela_do_wyboru[[#This Row],[godziny.konsultacja]],Tabela_do_wyboru[[#This Row],[godziny.egzamin]],Tabela_do_wyboru[[#This Row],[godziny.zajec.razem]])/25)/0.5,0)*0.5,0)</calculatedColumnFormula>
    </tableColumn>
    <tableColumn id="33" xr3:uid="{01C4F262-656E-41CA-BA06-846F0660F317}" name="godziny.razem.student" dataDxfId="687">
      <calculatedColumnFormula>SUM(Tabela_do_wyboru[[#This Row],[godziny.samoksztalcenie]],Tabela_do_wyboru[[#This Row],[godziny.konsultacja]],Tabela_do_wyboru[[#This Row],[godziny.egzamin]],Tabela_do_wyboru[[#This Row],[godziny.zajec.razem]])</calculatedColumnFormula>
    </tableColumn>
    <tableColumn id="34" xr3:uid="{BB892DFC-2886-4E77-B1CA-1539A4EACE60}" name="godziny.samoksztalcenie" dataDxfId="686">
      <calculatedColumnFormula>INT(SUM(Tabela_do_wyboru[[#This Row],[godziny.konsultacja]],Tabela_do_wyboru[[#This Row],[godziny.egzamin]],Tabela_do_wyboru[[#This Row],[godziny.zajec.razem]])*0.5+Tabela_do_wyboru[[#This Row],[godziny.zajec.razem]]*(15-$G$191)/9)</calculatedColumnFormula>
    </tableColumn>
    <tableColumn id="35" xr3:uid="{74BF6894-8825-4DDB-ABA4-D8E828AE51E4}" name="godziny.konsultacja" dataDxfId="685">
      <calculatedColumnFormula>INT(Tabela_do_wyboru[[#This Row],[godziny.zajec.razem]]*0.1)</calculatedColumnFormula>
    </tableColumn>
    <tableColumn id="36" xr3:uid="{36BEBDAD-53F9-4FA2-8234-D79A03987330}" name="godziny.egzamin" dataDxfId="684">
      <calculatedColumnFormula>IF(Tabela_do_wyboru[[#This Row],[godziny.zajec.razem]]&gt;0,IF(Tabela_do_wyboru[[#This Row],[godziny.zajec.razem]]&gt;=45,4,2),0)</calculatedColumnFormula>
    </tableColumn>
    <tableColumn id="37" xr3:uid="{E49D81F5-7CC4-422D-96C8-48768892AA09}" name="godziny.zajec.razem" dataDxfId="683">
      <calculatedColumnFormula>SUM(Tabela_do_wyboru[[#This Row],[sem1.godziny]],Tabela_do_wyboru[[#This Row],[sem2.godziny]],Tabela_do_wyboru[[#This Row],[sem3.godziny]],Tabela_do_wyboru[[#This Row],[sem4.godziny]],Tabela_do_wyboru[[#This Row],[sem5.godziny]],Tabela_do_wyboru[[#This Row],[sem6.godziny]],Tabela_do_wyboru[[#This Row],[sem7.godziny]],Tabela_do_wyboru[[#This Row],[sem8.godziny]],Tabela_do_wyboru[[#This Row],[sem9.godziny]],Tabela_do_wyboru[[#This Row],[sem10.godziny]])</calculatedColumnFormula>
    </tableColumn>
    <tableColumn id="38" xr3:uid="{3F933836-A064-4562-9858-7F91DB80BCCE}" name="ects.bezpos.kontakt.procent" dataDxfId="682">
      <calculatedColumnFormula>IF(Tabela_do_wyboru[[#This Row],[ects.bezposr.nauczyciel]],Tabela_do_wyboru[[#This Row],[ects.bezposr.nauczyciel]]/Tabela_do_wyboru[[#This Row],[ects.razem]],0)</calculatedColumnFormula>
    </tableColumn>
  </tableColumns>
  <tableStyleInfo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547C717-A8D1-4D35-BE07-36B0F0A58E44}" name="Tabela_SP3" displayName="Tabela_SP3" ref="B121:AV134" totalsRowShown="0" headerRowDxfId="681" dataDxfId="679" headerRowBorderDxfId="680" tableBorderDxfId="678" totalsRowBorderDxfId="677">
  <autoFilter ref="B121:AV134" xr:uid="{B547C717-A8D1-4D35-BE07-36B0F0A58E44}"/>
  <tableColumns count="47">
    <tableColumn id="1" xr3:uid="{48B599B4-A450-44C5-B8DD-D85BA6052D58}" name="kod.isced" dataDxfId="676"/>
    <tableColumn id="2" xr3:uid="{6D10BB10-48A8-4703-A672-9CBF04BA1293}" name="kod.dziedziny" dataDxfId="675"/>
    <tableColumn id="3" xr3:uid="{49D156F0-B92D-48FD-A002-BF1A3C8E6CEA}" name="Modul" dataDxfId="674"/>
    <tableColumn id="4" xr3:uid="{50E49944-1EEE-4DEC-B71D-7B920266E9EB}" name="Umiej.prakt." dataDxfId="673"/>
    <tableColumn id="5" xr3:uid="{28562CF4-FC3E-4E42-B3FB-597339847244}" name="Nazwa przedmiotu" dataDxfId="672"/>
    <tableColumn id="6" xr3:uid="{D8ED08C1-1322-4E29-A8DD-6723C7390AB5}" name="Prowadzacy" dataDxfId="671"/>
    <tableColumn id="7" xr3:uid="{DBC73A50-2F7D-4FF8-B387-CF0045CD7C29}" name="Forma" dataDxfId="670"/>
    <tableColumn id="8" xr3:uid="{1875A307-4B59-4E6B-87B4-D252B48AD255}" name="czy.ects" dataDxfId="669"/>
    <tableColumn id="9" xr3:uid="{37C5047F-3A93-49A7-B138-481145FFADAA}" name="sem1.godziny" dataDxfId="668"/>
    <tableColumn id="10" xr3:uid="{7757DF71-9059-4A58-9035-670A69BD0543}" name="sem1.ects" dataDxfId="667">
      <calculatedColumnFormula array="1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calculatedColumnFormula>
    </tableColumn>
    <tableColumn id="11" xr3:uid="{7C29F6D5-9440-4910-B231-9FBA1FF493E0}" name="sem1.forma" dataDxfId="666"/>
    <tableColumn id="12" xr3:uid="{083A206E-F896-42D8-A23D-EF3FBCFFFBF5}" name="sem2.godziny" dataDxfId="665"/>
    <tableColumn id="13" xr3:uid="{86DB5619-6F69-4950-833E-FEAB2A7F0AFC}" name="sem2.ects" dataDxfId="664">
      <calculatedColumnFormula array="1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calculatedColumnFormula>
    </tableColumn>
    <tableColumn id="14" xr3:uid="{D27D11D0-3ED3-49ED-8539-93C733449B01}" name="sem2.forma" dataDxfId="663"/>
    <tableColumn id="15" xr3:uid="{F7CA2E11-A864-4AB5-8F6B-0FC03E5E67B1}" name="sem3.godziny" dataDxfId="662"/>
    <tableColumn id="16" xr3:uid="{63AB8C91-ACAD-4FBB-B5E8-115FC4EEF0C9}" name="sem3.ects" dataDxfId="661">
      <calculatedColumnFormula array="1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calculatedColumnFormula>
    </tableColumn>
    <tableColumn id="17" xr3:uid="{8171FEB9-3465-4B7A-9965-F0AB43384645}" name="sem3.forma" dataDxfId="660"/>
    <tableColumn id="18" xr3:uid="{F3CDC13C-7DD2-423D-881F-D3C6402D6079}" name="sem4.godziny" dataDxfId="659"/>
    <tableColumn id="19" xr3:uid="{0E8EC011-8EBD-4B96-8FB9-F7757DBF5681}" name="sem4.ects" dataDxfId="658">
      <calculatedColumnFormula array="1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calculatedColumnFormula>
    </tableColumn>
    <tableColumn id="20" xr3:uid="{543FD4C0-B586-4A8D-8E3C-DC0513BC5918}" name="sem4.forma" dataDxfId="657"/>
    <tableColumn id="21" xr3:uid="{3F816B31-DF83-47BE-BCAE-DE3D4751EEDE}" name="sem5.godziny" dataDxfId="656"/>
    <tableColumn id="22" xr3:uid="{DE770756-498A-4B0F-B378-81B18DC16A57}" name="sem5.ects" dataDxfId="655">
      <calculatedColumnFormula array="1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calculatedColumnFormula>
    </tableColumn>
    <tableColumn id="23" xr3:uid="{1E12F8F8-5DD6-44C3-9202-F49338389552}" name="sem5.forma" dataDxfId="654"/>
    <tableColumn id="24" xr3:uid="{D9D84955-01DD-4155-B723-8B793927D93A}" name="sem6.godziny" dataDxfId="653"/>
    <tableColumn id="25" xr3:uid="{0B60452A-09F9-40AF-8963-EEEBF7D31FBC}" name="sem6.ects" dataDxfId="652">
      <calculatedColumnFormula array="1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calculatedColumnFormula>
    </tableColumn>
    <tableColumn id="26" xr3:uid="{A6755E80-62E2-4346-9388-0DCD3A27C0CA}" name="sem6.forma" dataDxfId="651"/>
    <tableColumn id="27" xr3:uid="{671E2FE3-1760-48CD-8E85-AF8F6E52F9C0}" name="sem7.godziny" dataDxfId="650"/>
    <tableColumn id="28" xr3:uid="{4C47A8A5-8017-4A37-97C7-1DDA19F5E4C6}" name="sem7.ects" dataDxfId="649">
      <calculatedColumnFormula array="1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calculatedColumnFormula>
    </tableColumn>
    <tableColumn id="29" xr3:uid="{F6DD92BE-4660-44C7-87A1-D73D49929207}" name="sem7.forma" dataDxfId="648"/>
    <tableColumn id="39" xr3:uid="{766FD1A7-4877-40CE-9A41-6A87A4444549}" name="sem8.godziny" dataDxfId="647"/>
    <tableColumn id="40" xr3:uid="{7FE632E3-D071-4A41-B93B-05F2C0D6FD22}" name="sem8.ects" dataDxfId="646">
      <calculatedColumnFormula array="1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calculatedColumnFormula>
    </tableColumn>
    <tableColumn id="41" xr3:uid="{85D30FEE-CB34-4C7A-9222-370D882DCB1D}" name="sem8.forma" dataDxfId="645"/>
    <tableColumn id="42" xr3:uid="{DCEE6212-687E-4ABB-A797-63B9AF96265D}" name="sem9.godziny" dataDxfId="644"/>
    <tableColumn id="43" xr3:uid="{3956A6FF-25E1-4D95-8B09-CD817F3EF791}" name="sem9.ects" dataDxfId="643">
      <calculatedColumnFormula array="1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calculatedColumnFormula>
    </tableColumn>
    <tableColumn id="44" xr3:uid="{E75FCDC2-2737-47D5-8F1B-EE22D465C033}" name="sem9.forma" dataDxfId="642"/>
    <tableColumn id="45" xr3:uid="{F0F4D7BB-8FA0-4208-8774-227C7E12BA9A}" name="sem10.godziny" dataDxfId="641"/>
    <tableColumn id="46" xr3:uid="{EFFE28C4-4F74-4DE5-A61D-C72E7549EB54}" name="sem10.ects" dataDxfId="640">
      <calculatedColumnFormula array="1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calculatedColumnFormula>
    </tableColumn>
    <tableColumn id="47" xr3:uid="{E604AA3B-CA8F-43C5-973B-C7A662EF8C28}" name="sem10.forma" dataDxfId="639"/>
    <tableColumn id="30" xr3:uid="{131AC7B0-D5A2-4E91-B8C4-BC136D25144C}" name="ects.razem" dataDxfId="638">
      <calculatedColumnFormula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calculatedColumnFormula>
    </tableColumn>
    <tableColumn id="31" xr3:uid="{EFD4F1F1-BD7A-42FF-BF66-6F6E1A0D15E8}" name="ects.umiej.prakt." dataDxfId="637">
      <calculatedColumnFormula>IF(ISERR(SEARCH("UP",Tabela_SP3[[#This Row],[Umiej.prakt.]],1)),0,Tabela_SP3[[#This Row],[ects.razem]])</calculatedColumnFormula>
    </tableColumn>
    <tableColumn id="32" xr3:uid="{8145BF1F-46FF-472F-AE65-31E55FB49EBD}" name="ects.bezposr.nauczyciel" dataDxfId="636">
      <calculatedColumnFormula>IF(Tabela_SP3[[#This Row],[czy.ects]]="TAK",ROUND((SUM(Tabela_SP3[[#This Row],[godziny.konsultacja]],Tabela_SP3[[#This Row],[godziny.egzamin]],Tabela_SP3[[#This Row],[godziny.zajec.razem]])/25)/0.5,0)*0.5,0)</calculatedColumnFormula>
    </tableColumn>
    <tableColumn id="33" xr3:uid="{B20B1EEA-B5D5-4C62-90AA-809B5D91270A}" name="godziny.razem.student" dataDxfId="635">
      <calculatedColumnFormula>SUM(Tabela_SP3[[#This Row],[godziny.samoksztalcenie]],Tabela_SP3[[#This Row],[godziny.konsultacja]],Tabela_SP3[[#This Row],[godziny.egzamin]],Tabela_SP3[[#This Row],[godziny.zajec.razem]])</calculatedColumnFormula>
    </tableColumn>
    <tableColumn id="34" xr3:uid="{ED92E017-56B0-407C-9303-949C561159C7}" name="godziny.samoksztalcenie" dataDxfId="634">
      <calculatedColumnFormula>INT(SUM(Tabela_SP3[[#This Row],[godziny.konsultacja]],Tabela_SP3[[#This Row],[godziny.egzamin]],Tabela_SP3[[#This Row],[godziny.zajec.razem]])*0.5+Tabela_SP3[[#This Row],[godziny.zajec.razem]]*(15-$G$191)/9)</calculatedColumnFormula>
    </tableColumn>
    <tableColumn id="35" xr3:uid="{7A244821-476A-4083-9520-9A9D0D3BEF30}" name="godziny.konsultacja" dataDxfId="633">
      <calculatedColumnFormula>INT(Tabela_SP3[[#This Row],[godziny.zajec.razem]]*0.1)</calculatedColumnFormula>
    </tableColumn>
    <tableColumn id="36" xr3:uid="{FAD28A89-AC18-4538-89C7-0DDD67C2E81E}" name="godziny.egzamin" dataDxfId="632">
      <calculatedColumnFormula>IF(Tabela_SP3[[#This Row],[godziny.zajec.razem]]&gt;0,IF(Tabela_SP3[[#This Row],[godziny.zajec.razem]]&gt;=45,4,2),0)</calculatedColumnFormula>
    </tableColumn>
    <tableColumn id="37" xr3:uid="{2ECB30D9-5BEB-4874-BB6B-657C6AD99558}" name="godziny.zajec.razem" dataDxfId="631">
      <calculatedColumnFormula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calculatedColumnFormula>
    </tableColumn>
    <tableColumn id="38" xr3:uid="{858B3837-437E-4553-9807-03FCC32F9357}" name="ects.bezpos.kontakt.procent" dataDxfId="630">
      <calculatedColumnFormula>IF(Tabela_SP3[[#This Row],[ects.bezposr.nauczyciel]],Tabela_SP3[[#This Row],[ects.bezposr.nauczyciel]]/Tabela_SP3[[#This Row],[ects.razem]],0)</calculatedColumnFormula>
    </tableColumn>
  </tableColumns>
  <tableStyleInfo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B98AEEB-358B-4A6A-94AF-24C6C1FC09A3}" name="Tabela_SP4" displayName="Tabela_SP4" ref="B137:AV154" totalsRowShown="0" headerRowDxfId="629" dataDxfId="627" headerRowBorderDxfId="628" tableBorderDxfId="626" totalsRowBorderDxfId="625">
  <autoFilter ref="B137:AV154" xr:uid="{BB98AEEB-358B-4A6A-94AF-24C6C1FC09A3}"/>
  <tableColumns count="47">
    <tableColumn id="1" xr3:uid="{24B219BC-0F34-438F-B215-9917C986D5EC}" name="kod.isced" dataDxfId="624"/>
    <tableColumn id="2" xr3:uid="{02631315-BF76-4CC8-8AAB-835050F47386}" name="kod.dziedziny" dataDxfId="623"/>
    <tableColumn id="3" xr3:uid="{B8F96F62-DA03-4E1C-AB06-FFE184B75A04}" name="Modul" dataDxfId="622"/>
    <tableColumn id="4" xr3:uid="{07BA0274-91C0-453D-A0B5-EF0DD9D97524}" name="Umiej.prakt." dataDxfId="621"/>
    <tableColumn id="5" xr3:uid="{5AD3C009-A98C-4912-98EA-B9A1382D4F5F}" name="Nazwa przedmiotu" dataDxfId="620"/>
    <tableColumn id="6" xr3:uid="{619FC7DD-BE90-4F1B-8CE5-970ECF0B4ADF}" name="Prowadzacy" dataDxfId="619"/>
    <tableColumn id="7" xr3:uid="{4F6AABE0-71CD-4C75-8F9A-71CF45C656F8}" name="Forma" dataDxfId="618"/>
    <tableColumn id="8" xr3:uid="{4FFF6147-FC9A-4ADA-AC4B-5BC64B1B2AE9}" name="czy.ects" dataDxfId="617"/>
    <tableColumn id="9" xr3:uid="{CE440BAE-33E4-4AF0-B0C9-FAA98D5D4705}" name="sem1.godziny" dataDxfId="616"/>
    <tableColumn id="10" xr3:uid="{C28702F6-C8BB-4FE6-9E32-81E248AA20D4}" name="sem1.ects" dataDxfId="615">
      <calculatedColumnFormula array="1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calculatedColumnFormula>
    </tableColumn>
    <tableColumn id="11" xr3:uid="{A1EE3E04-9C0C-4F58-9597-16567C025D03}" name="sem1.forma" dataDxfId="614"/>
    <tableColumn id="12" xr3:uid="{B4F269CF-191B-40FE-B8B8-6B2F2A9DCE91}" name="sem2.godziny" dataDxfId="613"/>
    <tableColumn id="13" xr3:uid="{D8D929E2-7906-4C12-907C-81C910B45790}" name="sem2.ects" dataDxfId="612">
      <calculatedColumnFormula array="1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calculatedColumnFormula>
    </tableColumn>
    <tableColumn id="14" xr3:uid="{0FA4AAC8-0D41-4F58-BC04-5F114BF21AC3}" name="sem2.forma" dataDxfId="611"/>
    <tableColumn id="15" xr3:uid="{1569F4D9-9DC1-45C9-A2A6-F63E5EFA621C}" name="sem3.godziny" dataDxfId="610"/>
    <tableColumn id="16" xr3:uid="{70C0DCD5-150A-4E76-A52B-4FCB802116F2}" name="sem3.ects" dataDxfId="609">
      <calculatedColumnFormula array="1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calculatedColumnFormula>
    </tableColumn>
    <tableColumn id="17" xr3:uid="{C36D5212-62D0-4430-8211-2740364FBD48}" name="sem3.forma" dataDxfId="608"/>
    <tableColumn id="18" xr3:uid="{9D8D90BD-2531-4867-A24A-704B7759373A}" name="sem4.godziny" dataDxfId="607"/>
    <tableColumn id="19" xr3:uid="{AF3223D6-9D09-4B85-8486-E102523FD8EE}" name="sem4.ects" dataDxfId="606">
      <calculatedColumnFormula array="1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calculatedColumnFormula>
    </tableColumn>
    <tableColumn id="20" xr3:uid="{8FD0C2F2-42A3-416E-B16D-2269224B6FCA}" name="sem4.forma" dataDxfId="605"/>
    <tableColumn id="21" xr3:uid="{AEE1C46A-C027-47C2-9E7F-1543A52F7384}" name="sem5.godziny" dataDxfId="604"/>
    <tableColumn id="22" xr3:uid="{0D1C7706-01FC-406A-8C2F-EE837DFCB170}" name="sem5.ects" dataDxfId="603">
      <calculatedColumnFormula array="1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calculatedColumnFormula>
    </tableColumn>
    <tableColumn id="23" xr3:uid="{5C5E443D-2870-4B97-8BC0-561BE9CD015B}" name="sem5.forma" dataDxfId="602"/>
    <tableColumn id="24" xr3:uid="{C493B7FA-3359-4762-8108-82945E7C1CB6}" name="sem6.godziny" dataDxfId="601"/>
    <tableColumn id="25" xr3:uid="{3C181848-8223-45E2-BF7C-92A3F2E4B63F}" name="sem6.ects" dataDxfId="600">
      <calculatedColumnFormula array="1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calculatedColumnFormula>
    </tableColumn>
    <tableColumn id="26" xr3:uid="{65B65B97-9C44-4EC9-81A9-A7BF554EF34D}" name="sem6.forma" dataDxfId="599"/>
    <tableColumn id="27" xr3:uid="{125E0C1F-12DB-430A-AE86-D9821FD617F8}" name="sem7.godziny" dataDxfId="598"/>
    <tableColumn id="28" xr3:uid="{CCACFDCC-DE2D-44A5-AF02-93E00C207C80}" name="sem7.ects" dataDxfId="597">
      <calculatedColumnFormula array="1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calculatedColumnFormula>
    </tableColumn>
    <tableColumn id="29" xr3:uid="{CE59FF3A-D220-49A9-B0D4-09F101EF856D}" name="sem7.forma" dataDxfId="596"/>
    <tableColumn id="39" xr3:uid="{76BF8DF2-AEC1-4B1D-B159-3FADBF72669D}" name="sem8.godziny" dataDxfId="595"/>
    <tableColumn id="40" xr3:uid="{5F9BF23B-9DA2-4FC0-B2DE-0B09ECF5C79C}" name="sem8.ects" dataDxfId="594">
      <calculatedColumnFormula array="1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calculatedColumnFormula>
    </tableColumn>
    <tableColumn id="41" xr3:uid="{2017D695-C4C4-4114-843B-F1D4E075DE51}" name="sem8.forma" dataDxfId="593"/>
    <tableColumn id="42" xr3:uid="{7E3B2C30-F968-4016-B86D-B5F386A0D7A6}" name="sem9.godziny" dataDxfId="592"/>
    <tableColumn id="43" xr3:uid="{33B90C47-8835-46EE-86A4-B418A558B5F1}" name="sem9.ects" dataDxfId="591">
      <calculatedColumnFormula array="1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calculatedColumnFormula>
    </tableColumn>
    <tableColumn id="44" xr3:uid="{EEF2645A-AC5D-485C-8350-74DF96922148}" name="sem9.forma" dataDxfId="590"/>
    <tableColumn id="45" xr3:uid="{361B57A5-1378-4038-9F9C-2A8F733C47AF}" name="sem10.godziny" dataDxfId="589"/>
    <tableColumn id="46" xr3:uid="{DA8C8EB1-0ACA-4618-B750-663F15B7FFB8}" name="sem10.ects" dataDxfId="588">
      <calculatedColumnFormula array="1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calculatedColumnFormula>
    </tableColumn>
    <tableColumn id="47" xr3:uid="{5C688564-D35C-433F-ADC5-7F555C0FD828}" name="sem10.forma" dataDxfId="587"/>
    <tableColumn id="30" xr3:uid="{86EB841C-74F5-4729-9BFF-B3E1FDE54642}" name="ects.razem" dataDxfId="586">
      <calculatedColumnFormula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calculatedColumnFormula>
    </tableColumn>
    <tableColumn id="31" xr3:uid="{AC687EE8-D367-4F92-B6BC-9EC97357400B}" name="ects.umiej.prakt." dataDxfId="585">
      <calculatedColumnFormula>IF(ISERR(SEARCH("UP",Tabela_SP4[[#This Row],[Umiej.prakt.]],1)),0,Tabela_SP4[[#This Row],[ects.razem]])</calculatedColumnFormula>
    </tableColumn>
    <tableColumn id="32" xr3:uid="{0AF4E09B-569E-4F34-9EFD-EDB4676ADC39}" name="ects.bezposr.nauczyciel" dataDxfId="584">
      <calculatedColumnFormula>IF(Tabela_SP4[[#This Row],[czy.ects]]="TAK",ROUND((SUM(Tabela_SP4[[#This Row],[godziny.konsultacja]],Tabela_SP4[[#This Row],[godziny.egzamin]],Tabela_SP4[[#This Row],[godziny.zajec.razem]])/25)/0.5,0)*0.5,0)</calculatedColumnFormula>
    </tableColumn>
    <tableColumn id="33" xr3:uid="{A51C548C-98ED-40D2-8105-2EF69B68EAF6}" name="godziny.razem.student" dataDxfId="583">
      <calculatedColumnFormula>SUM(Tabela_SP4[[#This Row],[godziny.samoksztalcenie]],Tabela_SP4[[#This Row],[godziny.konsultacja]],Tabela_SP4[[#This Row],[godziny.egzamin]],Tabela_SP4[[#This Row],[godziny.zajec.razem]])</calculatedColumnFormula>
    </tableColumn>
    <tableColumn id="34" xr3:uid="{441BC855-4A72-491A-AA87-F3037A884F2C}" name="godziny.samoksztalcenie" dataDxfId="582">
      <calculatedColumnFormula>INT(SUM(Tabela_SP4[[#This Row],[godziny.konsultacja]],Tabela_SP4[[#This Row],[godziny.egzamin]],Tabela_SP4[[#This Row],[godziny.zajec.razem]])*0.5+Tabela_SP4[[#This Row],[godziny.zajec.razem]]*(15-$G$191)/9)</calculatedColumnFormula>
    </tableColumn>
    <tableColumn id="35" xr3:uid="{28DDCB48-231A-49ED-AC7A-78B5CFFFE47E}" name="godziny.konsultacja" dataDxfId="581">
      <calculatedColumnFormula>INT(Tabela_SP4[[#This Row],[godziny.zajec.razem]]*0.1)</calculatedColumnFormula>
    </tableColumn>
    <tableColumn id="36" xr3:uid="{9D57BDB2-6125-4264-AD60-0F1BDDF9279C}" name="godziny.egzamin" dataDxfId="580">
      <calculatedColumnFormula>IF(Tabela_SP4[[#This Row],[godziny.zajec.razem]]&gt;0,IF(Tabela_SP4[[#This Row],[godziny.zajec.razem]]&gt;=45,4,2),0)</calculatedColumnFormula>
    </tableColumn>
    <tableColumn id="37" xr3:uid="{9123E9CF-7154-42F3-B28B-8B1E59D8FF38}" name="godziny.zajec.razem" dataDxfId="579">
      <calculatedColumnFormula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calculatedColumnFormula>
    </tableColumn>
    <tableColumn id="38" xr3:uid="{75EF73DE-4CD3-4FEC-B842-243D28901C61}" name="ects.bezpos.kontakt.procent" dataDxfId="578">
      <calculatedColumnFormula>IF(Tabela_SP4[[#This Row],[ects.bezposr.nauczyciel]],Tabela_SP4[[#This Row],[ects.bezposr.nauczyciel]]/Tabela_SP4[[#This Row],[ects.razem]],0)</calculatedColumnFormula>
    </tableColumn>
  </tableColumns>
  <tableStyleInfo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71FEF37-C1A4-4B55-BDD6-4C88FFD82BCB}" name="Tabela_SP5" displayName="Tabela_SP5" ref="B157:AV174" totalsRowShown="0" headerRowDxfId="577" dataDxfId="575" headerRowBorderDxfId="576" tableBorderDxfId="574" totalsRowBorderDxfId="573">
  <autoFilter ref="B157:AV174" xr:uid="{771FEF37-C1A4-4B55-BDD6-4C88FFD82BCB}"/>
  <tableColumns count="47">
    <tableColumn id="1" xr3:uid="{A784BACD-3E25-4787-AD8C-366AE30F9F18}" name="kod.isced" dataDxfId="572"/>
    <tableColumn id="2" xr3:uid="{BA0EEEAF-CD29-48AA-BA19-A193A441CE26}" name="kod.dziedziny" dataDxfId="571"/>
    <tableColumn id="3" xr3:uid="{B4891953-2C11-47F5-B312-1B7046F4142D}" name="Modul" dataDxfId="570"/>
    <tableColumn id="4" xr3:uid="{727BE5F6-138B-4B33-B41A-890989D9F624}" name="Umiej.prakt." dataDxfId="569"/>
    <tableColumn id="5" xr3:uid="{48E84CDE-3A7A-4441-A4C9-E24AFCAA398D}" name="Nazwa przedmiotu" dataDxfId="568"/>
    <tableColumn id="6" xr3:uid="{D06BAB42-C716-4546-83A6-7BD8913F6A68}" name="Prowadzacy" dataDxfId="567"/>
    <tableColumn id="7" xr3:uid="{B4429194-AAFA-4C23-8153-F1061782DA4A}" name="Forma" dataDxfId="566"/>
    <tableColumn id="8" xr3:uid="{F7D138E9-1114-4324-8CDD-5ECE80E2D0AA}" name="czy.ects" dataDxfId="565"/>
    <tableColumn id="9" xr3:uid="{ADAC4D98-EF01-430C-B3AC-35F4F913C7EF}" name="sem1.godziny" dataDxfId="564"/>
    <tableColumn id="10" xr3:uid="{FF4D7B07-102A-40F0-ACEC-9B6D57C9272F}" name="sem1.ects" dataDxfId="563">
      <calculatedColumnFormula array="1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calculatedColumnFormula>
    </tableColumn>
    <tableColumn id="11" xr3:uid="{D29B3333-8028-4CDF-A441-1E58E0FEBC76}" name="sem1.forma" dataDxfId="562"/>
    <tableColumn id="12" xr3:uid="{79B56A2C-398C-4980-8728-8309060B6FA3}" name="sem2.godziny" dataDxfId="561"/>
    <tableColumn id="13" xr3:uid="{DF230E73-E192-4FBC-9C59-67D566FF825F}" name="sem2.ects" dataDxfId="560">
      <calculatedColumnFormula array="1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calculatedColumnFormula>
    </tableColumn>
    <tableColumn id="14" xr3:uid="{4322489F-E5BA-431F-865B-931CC9A87520}" name="sem2.forma" dataDxfId="559"/>
    <tableColumn id="15" xr3:uid="{5C149616-BC6F-4C23-AC33-18C88764CE0D}" name="sem3.godziny" dataDxfId="558"/>
    <tableColumn id="16" xr3:uid="{BA6A1BA3-6B5E-4E51-A29E-E64A3F947C88}" name="sem3.ects" dataDxfId="557">
      <calculatedColumnFormula array="1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calculatedColumnFormula>
    </tableColumn>
    <tableColumn id="17" xr3:uid="{B192F808-5DCF-4109-AE12-CB5484595E5B}" name="sem3.forma" dataDxfId="556"/>
    <tableColumn id="18" xr3:uid="{3014F226-4148-4A3D-8661-166015A633F6}" name="sem4.godziny" dataDxfId="555"/>
    <tableColumn id="19" xr3:uid="{962645F1-98BA-4782-B289-322FF2C29A3B}" name="sem4.ects" dataDxfId="554">
      <calculatedColumnFormula array="1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calculatedColumnFormula>
    </tableColumn>
    <tableColumn id="20" xr3:uid="{D422B22C-5425-4585-9A16-627DAE9DD328}" name="sem4.forma" dataDxfId="553"/>
    <tableColumn id="21" xr3:uid="{6E8774A7-EABB-47EB-8FC9-07DF4043FB58}" name="sem5.godziny" dataDxfId="552"/>
    <tableColumn id="22" xr3:uid="{F355557A-C55D-4FF6-B4EF-C16E538570A4}" name="sem5.ects" dataDxfId="551">
      <calculatedColumnFormula array="1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calculatedColumnFormula>
    </tableColumn>
    <tableColumn id="23" xr3:uid="{A93D59DC-A78C-4F45-B991-AA275AFF7151}" name="sem5.forma" dataDxfId="550"/>
    <tableColumn id="24" xr3:uid="{2278D9C6-D257-4D6B-87B0-5B96107CBA6D}" name="sem6.godziny" dataDxfId="549"/>
    <tableColumn id="25" xr3:uid="{EB3186E3-F25A-40F5-BE81-2AAE2D7F3486}" name="sem6.ects" dataDxfId="548">
      <calculatedColumnFormula array="1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calculatedColumnFormula>
    </tableColumn>
    <tableColumn id="26" xr3:uid="{DA2E2AE4-F7A4-41C5-8C02-5A042A29A707}" name="sem6.forma" dataDxfId="547"/>
    <tableColumn id="27" xr3:uid="{0ED023B4-AFF3-4DFF-8451-FC81FF1BC0CA}" name="sem7.godziny" dataDxfId="546"/>
    <tableColumn id="28" xr3:uid="{2F174A7B-DA53-4AB9-B8CE-9DF96B56BBDE}" name="sem7.ects" dataDxfId="545">
      <calculatedColumnFormula array="1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calculatedColumnFormula>
    </tableColumn>
    <tableColumn id="29" xr3:uid="{D7B059EF-5BF7-4D8D-A3A4-BFB51328EA05}" name="sem7.forma" dataDxfId="544"/>
    <tableColumn id="39" xr3:uid="{1F125058-2AB2-4B87-96F4-61B581FB23CE}" name="sem8.godziny" dataDxfId="543"/>
    <tableColumn id="40" xr3:uid="{CDE46BEB-1637-49A7-AF25-6BF9B2C25F10}" name="sem8.ects" dataDxfId="542">
      <calculatedColumnFormula array="1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calculatedColumnFormula>
    </tableColumn>
    <tableColumn id="41" xr3:uid="{209AF83A-0CB1-4692-A598-4D6F859577C4}" name="sem8.forma" dataDxfId="541"/>
    <tableColumn id="42" xr3:uid="{0ED16936-FFF6-4DB7-AFE2-29441A3387D3}" name="sem9.godziny" dataDxfId="540"/>
    <tableColumn id="43" xr3:uid="{13D1111B-9A35-4E9A-93D1-2C5C2D471691}" name="sem9.ects" dataDxfId="539">
      <calculatedColumnFormula array="1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calculatedColumnFormula>
    </tableColumn>
    <tableColumn id="44" xr3:uid="{CAE805A1-2133-4DF0-A83D-7E17E9C1D7CC}" name="sem9.forma" dataDxfId="538"/>
    <tableColumn id="45" xr3:uid="{3CB4378C-C6FD-45E2-AABD-4B81D482B417}" name="sem10.godziny" dataDxfId="537"/>
    <tableColumn id="46" xr3:uid="{68014C9A-ACF4-4582-A507-4F55491591FC}" name="sem10.ects" dataDxfId="536">
      <calculatedColumnFormula array="1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calculatedColumnFormula>
    </tableColumn>
    <tableColumn id="47" xr3:uid="{94BF1FA3-BCFF-487D-AF30-3869ED7E14A5}" name="sem10.forma" dataDxfId="535"/>
    <tableColumn id="30" xr3:uid="{7E699881-2E63-4564-989F-EDE3AE08BD0E}" name="ects.razem" dataDxfId="534">
      <calculatedColumnFormula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calculatedColumnFormula>
    </tableColumn>
    <tableColumn id="31" xr3:uid="{54D14706-37BC-430E-BD66-BC88640BDA0A}" name="ects.umiej.prakt." dataDxfId="533">
      <calculatedColumnFormula>IF(ISERR(SEARCH("UP",Tabela_SP5[[#This Row],[Umiej.prakt.]],1)),0,Tabela_SP5[[#This Row],[ects.razem]])</calculatedColumnFormula>
    </tableColumn>
    <tableColumn id="32" xr3:uid="{91917516-2E6A-4793-8B93-98F54473CB09}" name="ects.bezposr.nauczyciel" dataDxfId="532">
      <calculatedColumnFormula>IF(Tabela_SP5[[#This Row],[czy.ects]]="TAK",ROUND((SUM(Tabela_SP5[[#This Row],[godziny.konsultacja]],Tabela_SP5[[#This Row],[godziny.egzamin]],Tabela_SP5[[#This Row],[godziny.zajec.razem]])/25)/0.5,0)*0.5,0)</calculatedColumnFormula>
    </tableColumn>
    <tableColumn id="33" xr3:uid="{9B911722-3EE1-4D22-AE83-2842D38A0B10}" name="godziny.razem.student" dataDxfId="531">
      <calculatedColumnFormula>SUM(Tabela_SP5[[#This Row],[godziny.samoksztalcenie]],Tabela_SP5[[#This Row],[godziny.konsultacja]],Tabela_SP5[[#This Row],[godziny.egzamin]],Tabela_SP5[[#This Row],[godziny.zajec.razem]])</calculatedColumnFormula>
    </tableColumn>
    <tableColumn id="34" xr3:uid="{B33F6C46-4D52-4688-907B-822B68468604}" name="godziny.samoksztalcenie" dataDxfId="530">
      <calculatedColumnFormula>INT(SUM(Tabela_SP5[[#This Row],[godziny.konsultacja]],Tabela_SP5[[#This Row],[godziny.egzamin]],Tabela_SP5[[#This Row],[godziny.zajec.razem]])*0.5+Tabela_SP5[[#This Row],[godziny.zajec.razem]]*(15-$G$191)/9)</calculatedColumnFormula>
    </tableColumn>
    <tableColumn id="35" xr3:uid="{F6960788-A0F7-410B-9965-B7B155C5D45A}" name="godziny.konsultacja" dataDxfId="529">
      <calculatedColumnFormula>INT(Tabela_SP5[[#This Row],[godziny.zajec.razem]]*0.1)</calculatedColumnFormula>
    </tableColumn>
    <tableColumn id="36" xr3:uid="{2CA4B43F-40E8-4EDE-B32B-4CF50CFC12B2}" name="godziny.egzamin" dataDxfId="528">
      <calculatedColumnFormula>IF(Tabela_SP5[[#This Row],[godziny.zajec.razem]]&gt;0,IF(Tabela_SP5[[#This Row],[godziny.zajec.razem]]&gt;=45,4,2),0)</calculatedColumnFormula>
    </tableColumn>
    <tableColumn id="37" xr3:uid="{17817B2F-CED5-4032-99BE-742A1907CB55}" name="godziny.zajec.razem" dataDxfId="527">
      <calculatedColumnFormula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calculatedColumnFormula>
    </tableColumn>
    <tableColumn id="38" xr3:uid="{C5525AA5-CDE5-4DF3-A0D9-1C25A084DB71}" name="ects.bezpos.kontakt.procent" dataDxfId="526">
      <calculatedColumnFormula>IF(Tabela_SP5[[#This Row],[ects.bezposr.nauczyciel]],Tabela_SP5[[#This Row],[ects.bezposr.nauczyciel]]/Tabela_SP5[[#This Row],[ects.razem]],0)</calculatedColumnFormula>
    </tableColumn>
  </tableColumns>
  <tableStyleInfo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F18A27-06E4-4DFD-B995-236C66526D99}" name="Tabela_podst_nst" displayName="Tabela_podst_nst" ref="B28:AV41" totalsRowShown="0" headerRowDxfId="525" dataDxfId="523" headerRowBorderDxfId="524" tableBorderDxfId="522" totalsRowBorderDxfId="521">
  <autoFilter ref="B28:AV41" xr:uid="{ED50E787-D587-4B58-AD34-28C631B96E0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4CAF4438-F095-4778-A5D8-33B26A4CA98A}" name="kod.isced" dataDxfId="520">
      <calculatedColumnFormula>IF(Tabela_podst[[#This Row],[kod.isced]]&lt;&gt;"",Tabela_podst[[#This Row],[kod.isced]],"")</calculatedColumnFormula>
    </tableColumn>
    <tableColumn id="2" xr3:uid="{E7C50E01-93CB-4701-AB84-0C1BB55D98BB}" name="kod.dziedziny" dataDxfId="519">
      <calculatedColumnFormula>IF(Tabela_podst[[#This Row],[kod.dziedziny]]&lt;&gt;"",Tabela_podst[[#This Row],[kod.dziedziny]],"")</calculatedColumnFormula>
    </tableColumn>
    <tableColumn id="3" xr3:uid="{AC2DAA47-E28B-40E0-88F4-BABA7E7001A4}" name="Modul" dataDxfId="518">
      <calculatedColumnFormula>IF(Tabela_podst[[#This Row],[Modul]]&lt;&gt;"",Tabela_podst[[#This Row],[Modul]],"")</calculatedColumnFormula>
    </tableColumn>
    <tableColumn id="4" xr3:uid="{096A58AB-591E-4C26-9C11-5B780C87EAA2}" name="Umiej.prakt." dataDxfId="517">
      <calculatedColumnFormula>IF(Tabela_podst[[#This Row],[Umiej.prakt.]]&lt;&gt;"",Tabela_podst[[#This Row],[Umiej.prakt.]],"")</calculatedColumnFormula>
    </tableColumn>
    <tableColumn id="5" xr3:uid="{AF9663EE-FAE9-4AC0-9C5F-999F5A262883}" name="Nazwa przedmiotu" dataDxfId="516">
      <calculatedColumnFormula>IF(Tabela_podst[[#This Row],[Nazwa przedmiotu]]&lt;&gt;"",Tabela_podst[[#This Row],[Nazwa przedmiotu]],"")</calculatedColumnFormula>
    </tableColumn>
    <tableColumn id="6" xr3:uid="{8C412308-9662-48B6-B90E-69C2317A8615}" name="Prowadzacy" dataDxfId="515">
      <calculatedColumnFormula>IF(Tabela_podst[[#This Row],[Prowadzacy]]&lt;&gt;"",Tabela_podst[[#This Row],[Prowadzacy]],"")</calculatedColumnFormula>
    </tableColumn>
    <tableColumn id="7" xr3:uid="{6248446A-4F07-4A92-9A8F-99C981A18367}" name="Forma" dataDxfId="514">
      <calculatedColumnFormula>IF(Tabela_podst[[#This Row],[Forma]]&lt;&gt;"",Tabela_podst[[#This Row],[Forma]],"")</calculatedColumnFormula>
    </tableColumn>
    <tableColumn id="8" xr3:uid="{5CB08A19-43A1-45A9-AA0F-058984078C62}" name="czy.ects" dataDxfId="513">
      <calculatedColumnFormula>IF(Tabela_podst[[#This Row],[czy.ects]]&lt;&gt;"",Tabela_podst[[#This Row],[czy.ects]],"")</calculatedColumnFormula>
    </tableColumn>
    <tableColumn id="9" xr3:uid="{81EF6416-3893-425B-A5C1-3A835E14FF8C}" name="sem1.godziny" dataDxfId="512">
      <calculatedColumnFormula>IF(Tabela_podst[[#This Row],[sem1.godziny]]&lt;&gt;"",IF(Tabela_podst[[#This Row],[sem1.godziny]]&gt;14,Tabela_podst[[#This Row],[sem1.godziny]]*0.6,Tabela_podst[[#This Row],[sem1.godziny]]),"")</calculatedColumnFormula>
    </tableColumn>
    <tableColumn id="10" xr3:uid="{96137F3B-67B4-4326-8F5C-00360387E2FF}" name="sem1.ects" dataDxfId="511">
      <calculatedColumnFormula array="1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calculatedColumnFormula>
    </tableColumn>
    <tableColumn id="11" xr3:uid="{0E23C8CF-68E8-465A-BF64-67D895600A97}" name="sem1.forma" dataDxfId="510">
      <calculatedColumnFormula>IF(Tabela_podst[[#This Row],[sem1.forma]]&lt;&gt;"",Tabela_podst[[#This Row],[sem1.forma]],"")</calculatedColumnFormula>
    </tableColumn>
    <tableColumn id="12" xr3:uid="{488F899D-2563-44E9-9680-BD0A6ECDCC6A}" name="sem2.godziny" dataDxfId="509">
      <calculatedColumnFormula>IF(Tabela_podst[[#This Row],[sem2.godziny]]&lt;&gt;"",IF(Tabela_podst[[#This Row],[sem2.godziny]]&gt;14,Tabela_podst[[#This Row],[sem2.godziny]]*0.6,Tabela_podst[[#This Row],[sem2.godziny]]),"")</calculatedColumnFormula>
    </tableColumn>
    <tableColumn id="13" xr3:uid="{FF7D7BB9-7ED9-4F9C-8BF3-C9BE4A00741E}" name="sem2.ects" dataDxfId="508">
      <calculatedColumnFormula array="1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calculatedColumnFormula>
    </tableColumn>
    <tableColumn id="14" xr3:uid="{CF43DC88-22A6-4140-B6F0-09D7960D048F}" name="sem2.forma" dataDxfId="507">
      <calculatedColumnFormula>IF(Tabela_podst[[#This Row],[sem2.forma]]&lt;&gt;"",Tabela_podst[[#This Row],[sem2.forma]],"")</calculatedColumnFormula>
    </tableColumn>
    <tableColumn id="15" xr3:uid="{DAFE5877-07DD-45DA-A695-687CC3EE795F}" name="sem3.godziny" dataDxfId="506">
      <calculatedColumnFormula>IF(Tabela_podst[[#This Row],[sem3.godziny]]&lt;&gt;"",IF(Tabela_podst[[#This Row],[sem3.godziny]]&gt;14,Tabela_podst[[#This Row],[sem3.godziny]]*0.6,Tabela_podst[[#This Row],[sem3.godziny]]),"")</calculatedColumnFormula>
    </tableColumn>
    <tableColumn id="16" xr3:uid="{11D77DDB-DEDC-4C01-8D79-88D44D94E74A}" name="sem3.ects" dataDxfId="505">
      <calculatedColumnFormula array="1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calculatedColumnFormula>
    </tableColumn>
    <tableColumn id="17" xr3:uid="{14F4724F-45FE-41FD-B73E-8860E6A75EE1}" name="sem3.forma" dataDxfId="504">
      <calculatedColumnFormula>IF(Tabela_podst[[#This Row],[sem3.forma]]&lt;&gt;"",Tabela_podst[[#This Row],[sem3.forma]],"")</calculatedColumnFormula>
    </tableColumn>
    <tableColumn id="18" xr3:uid="{6001BE32-6EEC-413C-8AEE-B9E9CE96745C}" name="sem4.godziny" dataDxfId="503">
      <calculatedColumnFormula>IF(Tabela_podst[[#This Row],[sem4.godziny]]&lt;&gt;"",IF(Tabela_podst[[#This Row],[sem4.godziny]]&gt;14,Tabela_podst[[#This Row],[sem4.godziny]]*0.6,Tabela_podst[[#This Row],[sem4.godziny]]),"")</calculatedColumnFormula>
    </tableColumn>
    <tableColumn id="19" xr3:uid="{1835BB15-6D17-493F-96F0-700B2CDDA8ED}" name="sem4.ects" dataDxfId="502">
      <calculatedColumnFormula array="1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calculatedColumnFormula>
    </tableColumn>
    <tableColumn id="20" xr3:uid="{F9F6BFD0-3166-4800-9CF4-FDBE0329F471}" name="sem4.forma" dataDxfId="501">
      <calculatedColumnFormula>IF(Tabela_podst[[#This Row],[sem4.forma]]&lt;&gt;"",Tabela_podst[[#This Row],[sem4.forma]],"")</calculatedColumnFormula>
    </tableColumn>
    <tableColumn id="21" xr3:uid="{9C5F0213-DB05-482D-B78D-34B3F46ABCD7}" name="sem5.godziny" dataDxfId="500">
      <calculatedColumnFormula>IF(Tabela_podst[[#This Row],[sem5.godziny]]&lt;&gt;"",IF(Tabela_podst[[#This Row],[sem5.godziny]]&gt;14,Tabela_podst[[#This Row],[sem5.godziny]]*0.6,Tabela_podst[[#This Row],[sem5.godziny]]),"")</calculatedColumnFormula>
    </tableColumn>
    <tableColumn id="22" xr3:uid="{DDE83059-4B94-4F8E-AAFE-D4BCC095B717}" name="sem5.ects" dataDxfId="499">
      <calculatedColumnFormula array="1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calculatedColumnFormula>
    </tableColumn>
    <tableColumn id="23" xr3:uid="{9CC8E114-CEC9-4A26-9EAD-DF1CE31E2275}" name="sem5.forma" dataDxfId="498">
      <calculatedColumnFormula>IF(Tabela_podst[[#This Row],[sem5.forma]]&lt;&gt;"",Tabela_podst[[#This Row],[sem5.forma]],"")</calculatedColumnFormula>
    </tableColumn>
    <tableColumn id="24" xr3:uid="{82D85B46-C5A0-47C0-9A03-19F27B00F877}" name="sem6.godziny" dataDxfId="497">
      <calculatedColumnFormula>IF(Tabela_podst[[#This Row],[sem6.godziny]]&lt;&gt;"",IF(Tabela_podst[[#This Row],[sem6.godziny]]&gt;14,Tabela_podst[[#This Row],[sem6.godziny]]*0.6,Tabela_podst[[#This Row],[sem6.godziny]]),"")</calculatedColumnFormula>
    </tableColumn>
    <tableColumn id="25" xr3:uid="{7B4AA532-B91E-4CF1-AFFF-D98A1BC4C391}" name="sem6.ects" dataDxfId="496">
      <calculatedColumnFormula array="1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calculatedColumnFormula>
    </tableColumn>
    <tableColumn id="26" xr3:uid="{138A5E72-E556-419C-B5E0-208FE43B2FF6}" name="sem6.forma" dataDxfId="495">
      <calculatedColumnFormula>IF(Tabela_podst[[#This Row],[sem6.forma]]&lt;&gt;"",Tabela_podst[[#This Row],[sem6.forma]],"")</calculatedColumnFormula>
    </tableColumn>
    <tableColumn id="27" xr3:uid="{8E218ABC-B2A5-470B-9722-A8C1FC9CEF7F}" name="sem7.godziny" dataDxfId="494">
      <calculatedColumnFormula>IF(Tabela_podst[[#This Row],[sem7.godziny]]&lt;&gt;"",IF(Tabela_podst[[#This Row],[sem7.godziny]]&gt;14,Tabela_podst[[#This Row],[sem7.godziny]]*0.6,Tabela_podst[[#This Row],[sem7.godziny]]),"")</calculatedColumnFormula>
    </tableColumn>
    <tableColumn id="28" xr3:uid="{15A04C86-403D-4C8D-86F7-CE79B70AB3C1}" name="sem7.ects" dataDxfId="493">
      <calculatedColumnFormula array="1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calculatedColumnFormula>
    </tableColumn>
    <tableColumn id="29" xr3:uid="{D88DCAC0-FA39-4BD7-B321-651732C9A5C8}" name="sem7.forma" dataDxfId="492">
      <calculatedColumnFormula>IF(Tabela_podst[[#This Row],[sem7.forma]]&lt;&gt;"",Tabela_podst[[#This Row],[sem7.forma]],"")</calculatedColumnFormula>
    </tableColumn>
    <tableColumn id="42" xr3:uid="{D79070CF-C342-4C4C-AFA6-04306069D763}" name="sem8.godziny" dataDxfId="491">
      <calculatedColumnFormula>IF(Tabela_podst[[#This Row],[sem8.godziny]]&lt;&gt;"",IF(Tabela_podst[[#This Row],[sem8.godziny]]&gt;14,Tabela_podst[[#This Row],[sem8.godziny]]*0.6,Tabela_podst[[#This Row],[sem8.godziny]]),"")</calculatedColumnFormula>
    </tableColumn>
    <tableColumn id="41" xr3:uid="{B8AD4BEC-9CA3-4723-A5D2-8170C57AA94A}" name="sem8.ects" dataDxfId="490">
      <calculatedColumnFormula array="1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calculatedColumnFormula>
    </tableColumn>
    <tableColumn id="40" xr3:uid="{16B0B857-FD73-4E32-B1B4-DEF126D67E9C}" name="sem8.forma" dataDxfId="489">
      <calculatedColumnFormula>IF(Tabela_podst[[#This Row],[sem8.forma]]&lt;&gt;"",Tabela_podst[[#This Row],[sem8.forma]],"")</calculatedColumnFormula>
    </tableColumn>
    <tableColumn id="43" xr3:uid="{C4D31096-FE30-4C6C-A287-E063EBEF4691}" name="sem9.godziny" dataDxfId="488">
      <calculatedColumnFormula>IF(Tabela_podst[[#This Row],[sem9.godziny]]&lt;&gt;"",IF(Tabela_podst[[#This Row],[sem9.godziny]]&gt;14,Tabela_podst[[#This Row],[sem9.godziny]]*0.6,Tabela_podst[[#This Row],[sem9.godziny]]),"")</calculatedColumnFormula>
    </tableColumn>
    <tableColumn id="44" xr3:uid="{D8B48BC3-ACE5-4ABB-A4A3-C6F6308AA497}" name="sem9.ects" dataDxfId="487">
      <calculatedColumnFormula array="1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calculatedColumnFormula>
    </tableColumn>
    <tableColumn id="45" xr3:uid="{CCB281DF-1004-4E64-B964-0C94F127949A}" name="sem9.forma" dataDxfId="486">
      <calculatedColumnFormula>IF(Tabela_podst[[#This Row],[sem9.forma]]&lt;&gt;"",Tabela_podst[[#This Row],[sem9.forma]],"")</calculatedColumnFormula>
    </tableColumn>
    <tableColumn id="46" xr3:uid="{BDBBA048-409E-4AC7-9308-817D674E5C43}" name="sem10.godziny" dataDxfId="485">
      <calculatedColumnFormula>IF(Tabela_podst[[#This Row],[sem10.godziny]]&lt;&gt;"",IF(Tabela_podst[[#This Row],[sem10.godziny]]&gt;14,Tabela_podst[[#This Row],[sem10.godziny]]*0.6,Tabela_podst[[#This Row],[sem10.godziny]]),"")</calculatedColumnFormula>
    </tableColumn>
    <tableColumn id="47" xr3:uid="{24058EEF-76FB-4EE5-8C38-940F4EDABCB8}" name="sem10.ects" dataDxfId="484">
      <calculatedColumnFormula array="1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calculatedColumnFormula>
    </tableColumn>
    <tableColumn id="48" xr3:uid="{15F45BB5-88C2-49DB-8C11-5C95CFE8A48A}" name="sem10.forma" dataDxfId="483">
      <calculatedColumnFormula>IF(Tabela_podst[[#This Row],[sem10.forma]]&lt;&gt;"",Tabela_podst[[#This Row],[sem10.forma]],"")</calculatedColumnFormula>
    </tableColumn>
    <tableColumn id="30" xr3:uid="{B2BBBD51-D549-48AE-90CB-CE07E39D2B30}" name="ects.razem" dataDxfId="482">
      <calculatedColumnFormula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calculatedColumnFormula>
    </tableColumn>
    <tableColumn id="31" xr3:uid="{F9FA0520-7D05-44CA-87FC-77CFEE81369E}" name="ects.umiej.prakt." dataDxfId="481">
      <calculatedColumnFormula>IF(ISERR(SEARCH("UP",Tabela_podst_nst[[#This Row],[Umiej.prakt.]],1)),0,Tabela_podst_nst[[#This Row],[ects.razem]])</calculatedColumnFormula>
    </tableColumn>
    <tableColumn id="32" xr3:uid="{DE950BBE-BFEC-47C5-A12E-6429C1F26870}" name="ects.bezposr.nauczyciel" dataDxfId="480">
      <calculatedColumnFormula>IF(Tabela_podst_nst[[#This Row],[czy.ects]]="TAK",ROUND((SUM(Tabela_podst_nst[[#This Row],[godziny.konsultacja]],Tabela_podst_nst[[#This Row],[godziny.egzamin]],Tabela_podst_nst[[#This Row],[godziny.zajec.razem]])/25)/0.5,0)*0.5,0)</calculatedColumnFormula>
    </tableColumn>
    <tableColumn id="33" xr3:uid="{0D9CE56F-93A9-4B85-BC90-75E8EF16E4E9}" name="godziny.razem.student" dataDxfId="479">
      <calculatedColumnFormula>SUM(Tabela_podst_nst[[#This Row],[godziny.samoksztalcenie]],Tabela_podst_nst[[#This Row],[godziny.konsultacja]],Tabela_podst_nst[[#This Row],[godziny.egzamin]],Tabela_podst_nst[[#This Row],[godziny.zajec.razem]])</calculatedColumnFormula>
    </tableColumn>
    <tableColumn id="34" xr3:uid="{69B7889F-F6EA-449D-96DC-0EB2A99AD16A}" name="godziny.samoksztalcenie" dataDxfId="478">
      <calculatedColumnFormula>Tabela_podst[[#This Row],[godziny.samoksztalcenie]]+(Tabela_podst[[#This Row],[godziny.zajec.razem]]-Tabela_podst_nst[[#This Row],[godziny.zajec.razem]])</calculatedColumnFormula>
    </tableColumn>
    <tableColumn id="35" xr3:uid="{A141C6B3-ABA7-404B-B925-3B0DEE55CE79}" name="godziny.konsultacja" dataDxfId="477">
      <calculatedColumnFormula>Tabela_podst[[#This Row],[godziny.konsultacja]]</calculatedColumnFormula>
    </tableColumn>
    <tableColumn id="36" xr3:uid="{75EC179F-352F-43E3-980E-ED234B557999}" name="godziny.egzamin" dataDxfId="476">
      <calculatedColumnFormula>Tabela_podst[[#This Row],[godziny.egzamin]]</calculatedColumnFormula>
    </tableColumn>
    <tableColumn id="37" xr3:uid="{1E377343-7AD6-438B-944B-E1C8BE32DD1C}" name="godziny.zajec.razem" dataDxfId="475">
      <calculatedColumnFormula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calculatedColumnFormula>
    </tableColumn>
    <tableColumn id="38" xr3:uid="{E1D70251-900A-4CFC-B533-299C69799D00}" name="ects.bezpos.kontakt.procent" dataDxfId="474">
      <calculatedColumnFormula>IF(Tabela_podst_nst[[#This Row],[ects.bezposr.nauczyciel]],Tabela_podst_nst[[#This Row],[ects.bezposr.nauczyciel]]/Tabela_podst_nst[[#This Row],[ects.razem]],0)</calculatedColumnFormula>
    </tableColumn>
  </tableColumns>
  <tableStyleInfo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D6AC878-59D6-44A1-956B-D61197C3EA6F}" name="Tabela_kier_nst" displayName="Tabela_kier_nst" ref="B45:AV76" totalsRowShown="0" headerRowDxfId="473" dataDxfId="471" headerRowBorderDxfId="472" tableBorderDxfId="470" totalsRowBorderDxfId="469">
  <autoFilter ref="B45:AV76" xr:uid="{DF3211EA-1690-4B0C-AEE0-57E7ED4F119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EFBAD2CB-506A-4D1C-82ED-CE40487BAE66}" name="kod.isced" dataDxfId="468">
      <calculatedColumnFormula>IF(Tabela_kier[[#This Row],[kod.isced]]&lt;&gt;"",Tabela_kier[[#This Row],[kod.isced]],"")</calculatedColumnFormula>
    </tableColumn>
    <tableColumn id="2" xr3:uid="{3F01B39B-F03B-42E4-BDC9-A0E7310BA1A0}" name="kod.dziedziny" dataDxfId="467">
      <calculatedColumnFormula>IF(Tabela_kier[[#This Row],[kod.dziedziny]]&lt;&gt;"",Tabela_kier[[#This Row],[kod.dziedziny]],"")</calculatedColumnFormula>
    </tableColumn>
    <tableColumn id="3" xr3:uid="{E479E086-C0A6-4BB8-910E-65DD0B033C77}" name="Modul" dataDxfId="466">
      <calculatedColumnFormula>IF(Tabela_kier[[#This Row],[Modul]]&lt;&gt;"",Tabela_kier[[#This Row],[Modul]],"")</calculatedColumnFormula>
    </tableColumn>
    <tableColumn id="4" xr3:uid="{C5D06F32-E352-4D4D-AAA9-6AE633E906A2}" name="Umiej.prakt." dataDxfId="465">
      <calculatedColumnFormula>IF(Tabela_kier[[#This Row],[Umiej.prakt.]]&lt;&gt;"",Tabela_kier[[#This Row],[Umiej.prakt.]],"")</calculatedColumnFormula>
    </tableColumn>
    <tableColumn id="5" xr3:uid="{D7628971-A553-4244-B112-E6AF4CE0C7AB}" name="Nazwa przedmiotu" dataDxfId="464">
      <calculatedColumnFormula>IF(Tabela_kier[[#This Row],[Nazwa przedmiotu]]&lt;&gt;"",Tabela_kier[[#This Row],[Nazwa przedmiotu]],"")</calculatedColumnFormula>
    </tableColumn>
    <tableColumn id="6" xr3:uid="{C22AE304-5D29-416A-A292-A13EC45701D0}" name="Prowadzacy" dataDxfId="463">
      <calculatedColumnFormula>IF(Tabela_kier[[#This Row],[Prowadzacy]]&lt;&gt;"",Tabela_kier[[#This Row],[Prowadzacy]],"")</calculatedColumnFormula>
    </tableColumn>
    <tableColumn id="7" xr3:uid="{D66208EC-07A8-474B-8F16-DEAC2B915C05}" name="Forma" dataDxfId="462">
      <calculatedColumnFormula>IF(Tabela_kier[[#This Row],[Forma]]&lt;&gt;"",Tabela_kier[[#This Row],[Forma]],"")</calculatedColumnFormula>
    </tableColumn>
    <tableColumn id="8" xr3:uid="{C785CA12-EBD9-4348-96C0-DCE81AF68B63}" name="czy.ects" dataDxfId="461">
      <calculatedColumnFormula>IF(Tabela_kier[[#This Row],[czy.ects]]&lt;&gt;"",Tabela_kier[[#This Row],[czy.ects]],"")</calculatedColumnFormula>
    </tableColumn>
    <tableColumn id="9" xr3:uid="{991CE765-CA71-46A1-B506-EA02E2CF86F0}" name="sem1.godziny" dataDxfId="460">
      <calculatedColumnFormula>IF(Tabela_kier[[#This Row],[sem1.godziny]]&lt;&gt;"",IF(Tabela_kier[[#This Row],[sem1.godziny]]&gt;14,Tabela_kier[[#This Row],[sem1.godziny]]*0.6,Tabela_kier[[#This Row],[sem1.godziny]]),"")</calculatedColumnFormula>
    </tableColumn>
    <tableColumn id="10" xr3:uid="{03256631-3E49-4D1D-BC95-7C89E3500835}" name="sem1.ects" dataDxfId="459">
      <calculatedColumnFormula array="1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calculatedColumnFormula>
    </tableColumn>
    <tableColumn id="11" xr3:uid="{23ADB5FA-E1B4-4236-A2F9-90640C633460}" name="sem1.forma" dataDxfId="458">
      <calculatedColumnFormula>IF(Tabela_kier[[#This Row],[sem1.forma]]&lt;&gt;"",Tabela_kier[[#This Row],[sem1.forma]],"")</calculatedColumnFormula>
    </tableColumn>
    <tableColumn id="12" xr3:uid="{FE1ABFAB-0840-468F-A4CE-2263C465C464}" name="sem2.godziny" dataDxfId="457">
      <calculatedColumnFormula>IF(Tabela_kier[[#This Row],[sem2.godziny]]&lt;&gt;"",IF(Tabela_kier[[#This Row],[sem2.godziny]]&gt;14,Tabela_kier[[#This Row],[sem2.godziny]]*0.6,Tabela_kier[[#This Row],[sem2.godziny]]),"")</calculatedColumnFormula>
    </tableColumn>
    <tableColumn id="13" xr3:uid="{FA33801C-06AD-42A5-AD7C-0170A59A938E}" name="sem2.ects" dataDxfId="456">
      <calculatedColumnFormula array="1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calculatedColumnFormula>
    </tableColumn>
    <tableColumn id="14" xr3:uid="{97794E58-5C9B-499F-81EC-E52DB3097A07}" name="sem2.forma" dataDxfId="455">
      <calculatedColumnFormula>IF(Tabela_kier[[#This Row],[sem2.forma]]&lt;&gt;"",Tabela_kier[[#This Row],[sem2.forma]],"")</calculatedColumnFormula>
    </tableColumn>
    <tableColumn id="15" xr3:uid="{DCB7902C-0FFA-49F0-81C6-3F86EC126CF8}" name="sem3.godziny" dataDxfId="454">
      <calculatedColumnFormula>IF(Tabela_kier[[#This Row],[sem3.godziny]]&lt;&gt;"",IF(Tabela_kier[[#This Row],[sem3.godziny]]&gt;14,Tabela_kier[[#This Row],[sem3.godziny]]*0.6,Tabela_kier[[#This Row],[sem3.godziny]]),"")</calculatedColumnFormula>
    </tableColumn>
    <tableColumn id="16" xr3:uid="{F88FD154-9603-49D7-BE28-93B0D03DBF83}" name="sem3.ects" dataDxfId="453">
      <calculatedColumnFormula array="1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calculatedColumnFormula>
    </tableColumn>
    <tableColumn id="17" xr3:uid="{7CD9664D-165A-4938-84FE-84334F157AAE}" name="sem3.forma" dataDxfId="452">
      <calculatedColumnFormula>IF(Tabela_kier[[#This Row],[sem3.forma]]&lt;&gt;"",Tabela_kier[[#This Row],[sem3.forma]],"")</calculatedColumnFormula>
    </tableColumn>
    <tableColumn id="18" xr3:uid="{B7A173DC-25AF-4E1A-8C48-9353D4D8C59B}" name="sem4.godziny" dataDxfId="451">
      <calculatedColumnFormula>IF(Tabela_kier[[#This Row],[sem4.godziny]]&lt;&gt;"",IF(Tabela_kier[[#This Row],[sem4.godziny]]&gt;14,Tabela_kier[[#This Row],[sem4.godziny]]*0.6,Tabela_kier[[#This Row],[sem4.godziny]]),"")</calculatedColumnFormula>
    </tableColumn>
    <tableColumn id="19" xr3:uid="{AD4E93F1-4B45-4748-A854-9D5903FD4D0F}" name="sem4.ects" dataDxfId="450">
      <calculatedColumnFormula array="1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calculatedColumnFormula>
    </tableColumn>
    <tableColumn id="20" xr3:uid="{438D1C66-1CD6-4F1E-86A1-0590A72AEE39}" name="sem4.forma" dataDxfId="449">
      <calculatedColumnFormula>IF(Tabela_kier[[#This Row],[sem4.forma]]&lt;&gt;"",Tabela_kier[[#This Row],[sem4.forma]],"")</calculatedColumnFormula>
    </tableColumn>
    <tableColumn id="21" xr3:uid="{6E2A3CB4-3DD5-45EC-917D-20DC190BB40B}" name="sem5.godziny" dataDxfId="448">
      <calculatedColumnFormula>IF(Tabela_kier[[#This Row],[sem5.godziny]]&lt;&gt;"",IF(Tabela_kier[[#This Row],[sem5.godziny]]&gt;14,Tabela_kier[[#This Row],[sem5.godziny]]*0.6,Tabela_kier[[#This Row],[sem5.godziny]]),"")</calculatedColumnFormula>
    </tableColumn>
    <tableColumn id="22" xr3:uid="{DD5FD9B0-FBF0-4048-9D38-21178BCCB0A5}" name="sem5.ects" dataDxfId="447">
      <calculatedColumnFormula array="1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calculatedColumnFormula>
    </tableColumn>
    <tableColumn id="23" xr3:uid="{82354C1D-F435-4665-9C4E-2B61053982FA}" name="sem5.forma" dataDxfId="446">
      <calculatedColumnFormula>IF(Tabela_kier[[#This Row],[sem5.forma]]&lt;&gt;"",Tabela_kier[[#This Row],[sem5.forma]],"")</calculatedColumnFormula>
    </tableColumn>
    <tableColumn id="24" xr3:uid="{7AE94FDD-D641-4F16-8D11-1BB13E551011}" name="sem6.godziny" dataDxfId="445">
      <calculatedColumnFormula>IF(Tabela_kier[[#This Row],[sem6.godziny]]&lt;&gt;"",IF(Tabela_kier[[#This Row],[sem6.godziny]]&gt;14,Tabela_kier[[#This Row],[sem6.godziny]]*0.6,Tabela_kier[[#This Row],[sem6.godziny]]),"")</calculatedColumnFormula>
    </tableColumn>
    <tableColumn id="25" xr3:uid="{CF2C809F-B0BA-4820-871E-96D6758A7B14}" name="sem6.ects" dataDxfId="444">
      <calculatedColumnFormula array="1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calculatedColumnFormula>
    </tableColumn>
    <tableColumn id="26" xr3:uid="{5B8F98B8-CFC3-41B7-B557-B3BE23D1E227}" name="sem6.forma" dataDxfId="443">
      <calculatedColumnFormula>IF(Tabela_kier[[#This Row],[sem6.forma]]&lt;&gt;"",Tabela_kier[[#This Row],[sem6.forma]],"")</calculatedColumnFormula>
    </tableColumn>
    <tableColumn id="27" xr3:uid="{32F14A6D-7F4A-434D-8B3A-56C757AEEAB7}" name="sem7.godziny" dataDxfId="442">
      <calculatedColumnFormula>IF(Tabela_kier[[#This Row],[sem7.godziny]]&lt;&gt;"",IF(Tabela_kier[[#This Row],[sem7.godziny]]&gt;14,Tabela_kier[[#This Row],[sem7.godziny]]*0.6,Tabela_kier[[#This Row],[sem7.godziny]]),"")</calculatedColumnFormula>
    </tableColumn>
    <tableColumn id="28" xr3:uid="{1489630E-E10F-4EFD-B36C-13FC9C085A9D}" name="sem7.ects" dataDxfId="441">
      <calculatedColumnFormula array="1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calculatedColumnFormula>
    </tableColumn>
    <tableColumn id="29" xr3:uid="{6D032222-F384-4F6E-83B3-C57FB7D692C5}" name="sem7.forma" dataDxfId="440">
      <calculatedColumnFormula>IF(Tabela_kier[[#This Row],[sem7.forma]]&lt;&gt;"",Tabela_kier[[#This Row],[sem7.forma]],"")</calculatedColumnFormula>
    </tableColumn>
    <tableColumn id="39" xr3:uid="{E4692B1D-7D30-41CB-9C8D-F1D23E59149C}" name="sem8.godziny" dataDxfId="439">
      <calculatedColumnFormula>IF(Tabela_kier[[#This Row],[sem8.godziny]]&lt;&gt;"",IF(Tabela_kier[[#This Row],[sem8.godziny]]&gt;14,Tabela_kier[[#This Row],[sem8.godziny]]*0.6,Tabela_kier[[#This Row],[sem8.godziny]]),"")</calculatedColumnFormula>
    </tableColumn>
    <tableColumn id="40" xr3:uid="{9F6E4570-11AB-472D-854C-0C55DA1A4B9C}" name="sem8.ects" dataDxfId="438">
      <calculatedColumnFormula array="1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calculatedColumnFormula>
    </tableColumn>
    <tableColumn id="41" xr3:uid="{580F64DA-C02B-4BC1-8F1F-EEDE5BF9F8B3}" name="sem8.forma" dataDxfId="437">
      <calculatedColumnFormula>IF(Tabela_kier[[#This Row],[sem8.forma]]&lt;&gt;"",Tabela_kier[[#This Row],[sem8.forma]],"")</calculatedColumnFormula>
    </tableColumn>
    <tableColumn id="42" xr3:uid="{0F194963-E60D-441A-AD4E-AE6DAABA4A3C}" name="sem9.godziny" dataDxfId="436">
      <calculatedColumnFormula>IF(Tabela_kier[[#This Row],[sem9.godziny]]&lt;&gt;"",IF(Tabela_kier[[#This Row],[sem9.godziny]]&gt;14,Tabela_kier[[#This Row],[sem9.godziny]]*0.6,Tabela_kier[[#This Row],[sem9.godziny]]),"")</calculatedColumnFormula>
    </tableColumn>
    <tableColumn id="43" xr3:uid="{4205EFF7-A4D7-4666-B56C-4A2B2F9F3577}" name="sem9.ects" dataDxfId="435">
      <calculatedColumnFormula array="1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calculatedColumnFormula>
    </tableColumn>
    <tableColumn id="44" xr3:uid="{5F974E7C-E83C-4D88-84D0-F7046690C50C}" name="sem9.forma" dataDxfId="434">
      <calculatedColumnFormula>IF(Tabela_kier[[#This Row],[sem9.forma]]&lt;&gt;"",Tabela_kier[[#This Row],[sem9.forma]],"")</calculatedColumnFormula>
    </tableColumn>
    <tableColumn id="45" xr3:uid="{287B36BF-6BFA-43BD-93B3-510060DC9AD8}" name="sem10.godziny" dataDxfId="433">
      <calculatedColumnFormula>IF(Tabela_kier[[#This Row],[sem10.godziny]]&lt;&gt;"",IF(Tabela_kier[[#This Row],[sem10.godziny]]&gt;14,Tabela_kier[[#This Row],[sem10.godziny]]*0.6,Tabela_kier[[#This Row],[sem10.godziny]]),"")</calculatedColumnFormula>
    </tableColumn>
    <tableColumn id="46" xr3:uid="{676B72FF-2F70-4949-896B-906B1E3B365F}" name="sem10.ects" dataDxfId="432">
      <calculatedColumnFormula array="1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calculatedColumnFormula>
    </tableColumn>
    <tableColumn id="47" xr3:uid="{11D00A50-F096-4DBD-968F-9F0E296ABB1B}" name="sem10.forma" dataDxfId="431">
      <calculatedColumnFormula>IF(Tabela_kier[[#This Row],[sem10.forma]]&lt;&gt;"",Tabela_kier[[#This Row],[sem10.forma]],"")</calculatedColumnFormula>
    </tableColumn>
    <tableColumn id="30" xr3:uid="{20F38609-9D34-4F92-8DE6-C6B7A61BE2B5}" name="ects.razem" dataDxfId="430">
      <calculatedColumnFormula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calculatedColumnFormula>
    </tableColumn>
    <tableColumn id="31" xr3:uid="{549C47A5-A909-40A3-923A-CB5F761B5E69}" name="ects.umiej.prakt." dataDxfId="429">
      <calculatedColumnFormula>IF(ISERR(SEARCH("UP",Tabela_kier_nst[[#This Row],[Umiej.prakt.]],1)),0,Tabela_kier_nst[[#This Row],[ects.razem]])</calculatedColumnFormula>
    </tableColumn>
    <tableColumn id="32" xr3:uid="{540933D4-6370-4376-92CC-9356CE56DE5B}" name="ects.bezposr.nauczyciel" dataDxfId="428">
      <calculatedColumnFormula>IF(Tabela_kier_nst[[#This Row],[czy.ects]]="TAK",ROUND((SUM(Tabela_kier_nst[[#This Row],[godziny.konsultacja]],Tabela_kier_nst[[#This Row],[godziny.egzamin]],Tabela_kier_nst[[#This Row],[godziny.zajec.razem]])/25)/0.5,0)*0.5,0)</calculatedColumnFormula>
    </tableColumn>
    <tableColumn id="33" xr3:uid="{AFEF2683-F74D-4900-9AB0-DB13A164EB5A}" name="godziny.razem.student" dataDxfId="427">
      <calculatedColumnFormula>SUM(Tabela_kier_nst[[#This Row],[godziny.samoksztalcenie]],Tabela_kier_nst[[#This Row],[godziny.konsultacja]],Tabela_kier_nst[[#This Row],[godziny.egzamin]],Tabela_kier_nst[[#This Row],[godziny.zajec.razem]])</calculatedColumnFormula>
    </tableColumn>
    <tableColumn id="34" xr3:uid="{8E9ECE49-8DF4-4BB8-9CCF-FFAF3963DF19}" name="godziny.samoksztalcenie" dataDxfId="426">
      <calculatedColumnFormula>Tabela_kier[[#This Row],[godziny.samoksztalcenie]]+(Tabela_kier[[#This Row],[godziny.zajec.razem]]-Tabela_kier_nst[[#This Row],[godziny.zajec.razem]])</calculatedColumnFormula>
    </tableColumn>
    <tableColumn id="35" xr3:uid="{CA6174A1-5C82-4937-96F7-BD83C798F14D}" name="godziny.konsultacja" dataDxfId="425">
      <calculatedColumnFormula>Tabela_kier[[#This Row],[godziny.konsultacja]]</calculatedColumnFormula>
    </tableColumn>
    <tableColumn id="36" xr3:uid="{247585C2-324C-498C-A125-694B81B4F8A6}" name="godziny.egzamin" dataDxfId="424">
      <calculatedColumnFormula>Tabela_kier[[#This Row],[godziny.egzamin]]</calculatedColumnFormula>
    </tableColumn>
    <tableColumn id="37" xr3:uid="{A82AD054-9EE5-4568-88DB-97B5BDAFC05B}" name="godziny.zajec.razem" dataDxfId="423">
      <calculatedColumnFormula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calculatedColumnFormula>
    </tableColumn>
    <tableColumn id="38" xr3:uid="{253C31F4-DEF6-484D-832D-899FD10A2E72}" name="ects.bezpos.kontakt.procent" dataDxfId="422">
      <calculatedColumnFormula>IF(Tabela_kier_nst[[#This Row],[ects.bezposr.nauczyciel]],Tabela_kier_nst[[#This Row],[ects.bezposr.nauczyciel]]/Tabela_kier_nst[[#This Row],[ects.razem]],0)</calculatedColumnFormula>
    </tableColumn>
  </tableColumns>
  <tableStyleInfo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C124DAB-F4EE-4EB1-AFE0-FAC976B4A15B}" name="Tabela_SP1_nst" displayName="Tabela_SP1_nst" ref="B88:AV101" totalsRowShown="0" headerRowDxfId="421" dataDxfId="419" headerRowBorderDxfId="420" tableBorderDxfId="418" totalsRowBorderDxfId="417">
  <autoFilter ref="B88:AV101" xr:uid="{3F86C50F-4DFD-4F49-8812-995F136A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6FB928B9-5B78-4E70-9266-AEB41816E7D1}" name="kod.isced" dataDxfId="416">
      <calculatedColumnFormula>IF(Tabela_SP1[[#This Row],[kod.isced]]&lt;&gt;"",Tabela_SP1[[#This Row],[kod.isced]],"")</calculatedColumnFormula>
    </tableColumn>
    <tableColumn id="2" xr3:uid="{946B390D-FF7B-4F0B-BFF9-60E033EE91E8}" name="kod.dziedziny" dataDxfId="415">
      <calculatedColumnFormula>IF(Tabela_SP1[[#This Row],[kod.dziedziny]]&lt;&gt;"",Tabela_SP1[[#This Row],[kod.dziedziny]],"")</calculatedColumnFormula>
    </tableColumn>
    <tableColumn id="3" xr3:uid="{151416FA-1352-4FDA-8A66-65EFDB9D677D}" name="Modul" dataDxfId="414">
      <calculatedColumnFormula>IF(Tabela_SP1[[#This Row],[Modul]]&lt;&gt;"",Tabela_SP1[[#This Row],[Modul]],"")</calculatedColumnFormula>
    </tableColumn>
    <tableColumn id="4" xr3:uid="{519A873C-3A95-421A-8181-EA089DAC6620}" name="Umiej.prakt." dataDxfId="413">
      <calculatedColumnFormula>IF(Tabela_SP1[[#This Row],[Umiej.prakt.]]&lt;&gt;"",Tabela_SP1[[#This Row],[Umiej.prakt.]],"")</calculatedColumnFormula>
    </tableColumn>
    <tableColumn id="5" xr3:uid="{EFB36C8F-64D4-4654-B886-5416B6B64CE8}" name="Nazwa przedmiotu" dataDxfId="412">
      <calculatedColumnFormula>IF(Tabela_SP1[[#This Row],[Nazwa przedmiotu]]&lt;&gt;"",Tabela_SP1[[#This Row],[Nazwa przedmiotu]],"")</calculatedColumnFormula>
    </tableColumn>
    <tableColumn id="6" xr3:uid="{F0A7D1FA-2C32-49FD-9AF4-129BA7F98D61}" name="Prowadzacy" dataDxfId="411">
      <calculatedColumnFormula>IF(Tabela_SP1[[#This Row],[Prowadzacy]]&lt;&gt;"",Tabela_SP1[[#This Row],[Prowadzacy]],"")</calculatedColumnFormula>
    </tableColumn>
    <tableColumn id="7" xr3:uid="{8B9AC4FE-5802-4DB0-B469-F1EAEDDCCEDB}" name="Forma" dataDxfId="410">
      <calculatedColumnFormula>IF(Tabela_SP1[[#This Row],[Forma]]&lt;&gt;"",Tabela_SP1[[#This Row],[Forma]],"")</calculatedColumnFormula>
    </tableColumn>
    <tableColumn id="8" xr3:uid="{D9A9AF68-455A-4C53-BB0C-192D4DB11148}" name="czy.ects" dataDxfId="409">
      <calculatedColumnFormula>IF(Tabela_SP1[[#This Row],[czy.ects]]&lt;&gt;"",Tabela_SP1[[#This Row],[czy.ects]],"")</calculatedColumnFormula>
    </tableColumn>
    <tableColumn id="9" xr3:uid="{641A1687-16E5-44C0-90C3-95BD25442F18}" name="sem1.godziny" dataDxfId="408">
      <calculatedColumnFormula array="1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calculatedColumnFormula>
    </tableColumn>
    <tableColumn id="10" xr3:uid="{31DA6DF3-9D78-48FB-ABEB-85CF04B535B0}" name="sem1.ects" dataDxfId="407">
      <calculatedColumnFormula array="1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calculatedColumnFormula>
    </tableColumn>
    <tableColumn id="11" xr3:uid="{6D609FF8-35EF-433E-884B-9E1E0519578E}" name="sem1.forma" dataDxfId="406">
      <calculatedColumnFormula>IF(Tabela_SP1[[#This Row],[sem1.forma]]&lt;&gt;"",Tabela_SP1[[#This Row],[sem1.forma]],"")</calculatedColumnFormula>
    </tableColumn>
    <tableColumn id="12" xr3:uid="{5C406853-C7C9-460C-BA25-78E3577E0B99}" name="sem2.godziny" dataDxfId="405">
      <calculatedColumnFormula array="1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calculatedColumnFormula>
    </tableColumn>
    <tableColumn id="13" xr3:uid="{603EEADE-F225-4EB0-8211-CE1244A2D546}" name="sem2.ects" dataDxfId="404">
      <calculatedColumnFormula array="1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calculatedColumnFormula>
    </tableColumn>
    <tableColumn id="14" xr3:uid="{B5C90CB6-B5B8-418A-807E-3AA9552F7C76}" name="sem2.forma" dataDxfId="403">
      <calculatedColumnFormula>IF(Tabela_SP1[[#This Row],[sem2.forma]]&lt;&gt;"",Tabela_SP1[[#This Row],[sem2.forma]],"")</calculatedColumnFormula>
    </tableColumn>
    <tableColumn id="15" xr3:uid="{5D9ADDE7-C708-42D7-A0C1-32CF4F8C4E5A}" name="sem3.godziny" dataDxfId="402">
      <calculatedColumnFormula array="1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calculatedColumnFormula>
    </tableColumn>
    <tableColumn id="16" xr3:uid="{A4D6D076-4578-4032-BFE5-835FDC0DF6C6}" name="sem3.ects" dataDxfId="401">
      <calculatedColumnFormula array="1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calculatedColumnFormula>
    </tableColumn>
    <tableColumn id="17" xr3:uid="{06DD1AAB-DF5F-4782-BC72-049E8AF57834}" name="sem3.forma" dataDxfId="400">
      <calculatedColumnFormula>IF(Tabela_SP1[[#This Row],[sem3.forma]]&lt;&gt;"",Tabela_SP1[[#This Row],[sem3.forma]],"")</calculatedColumnFormula>
    </tableColumn>
    <tableColumn id="18" xr3:uid="{2A3CDA48-CEAE-43AE-8406-BAEEA3441E7F}" name="sem4.godziny" dataDxfId="399">
      <calculatedColumnFormula array="1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calculatedColumnFormula>
    </tableColumn>
    <tableColumn id="19" xr3:uid="{1046B7B5-C169-4EC2-B4E9-E7A306EF9A37}" name="sem4.ects" dataDxfId="398">
      <calculatedColumnFormula array="1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calculatedColumnFormula>
    </tableColumn>
    <tableColumn id="20" xr3:uid="{CDF59A2C-C0EB-4B13-803A-0EA54935A73D}" name="sem4.forma" dataDxfId="397">
      <calculatedColumnFormula>IF(Tabela_SP1[[#This Row],[sem4.forma]]&lt;&gt;"",Tabela_SP1[[#This Row],[sem4.forma]],"")</calculatedColumnFormula>
    </tableColumn>
    <tableColumn id="21" xr3:uid="{28D52A3E-8A55-4ECC-9E79-0ECA6E70B49F}" name="sem5.godziny" dataDxfId="396">
      <calculatedColumnFormula array="1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calculatedColumnFormula>
    </tableColumn>
    <tableColumn id="22" xr3:uid="{8C14438C-4822-4CA5-8792-0944DA7841E8}" name="sem5.ects" dataDxfId="395">
      <calculatedColumnFormula array="1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calculatedColumnFormula>
    </tableColumn>
    <tableColumn id="23" xr3:uid="{4BBAA4CC-FBDB-4D65-AF13-A70F21349399}" name="sem5.forma" dataDxfId="394">
      <calculatedColumnFormula>IF(Tabela_SP1[[#This Row],[sem5.forma]]&lt;&gt;"",Tabela_SP1[[#This Row],[sem5.forma]],"")</calculatedColumnFormula>
    </tableColumn>
    <tableColumn id="24" xr3:uid="{E5607651-ED26-439E-A24F-9B788E7A2BC9}" name="sem6.godziny" dataDxfId="393">
      <calculatedColumnFormula array="1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calculatedColumnFormula>
    </tableColumn>
    <tableColumn id="25" xr3:uid="{25DE2085-FB21-49A8-B49B-D97501367F4F}" name="sem6.ects" dataDxfId="392">
      <calculatedColumnFormula array="1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calculatedColumnFormula>
    </tableColumn>
    <tableColumn id="26" xr3:uid="{C15284EC-7764-486D-9C8C-10C04C654605}" name="sem6.forma" dataDxfId="391">
      <calculatedColumnFormula>IF(Tabela_SP1[[#This Row],[sem6.forma]]&lt;&gt;"",Tabela_SP1[[#This Row],[sem6.forma]],"")</calculatedColumnFormula>
    </tableColumn>
    <tableColumn id="27" xr3:uid="{29545BDC-0AC8-44F3-95FB-77B08803797D}" name="sem7.godziny" dataDxfId="390">
      <calculatedColumnFormula array="1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calculatedColumnFormula>
    </tableColumn>
    <tableColumn id="28" xr3:uid="{481BA44A-8208-4E66-8E4B-9A88E1227BB4}" name="sem7.ects" dataDxfId="389">
      <calculatedColumnFormula array="1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calculatedColumnFormula>
    </tableColumn>
    <tableColumn id="29" xr3:uid="{7A31FE8A-A6CC-448D-9F9E-E240BC55C8D4}" name="sem7.forma" dataDxfId="388">
      <calculatedColumnFormula>IF(Tabela_SP1[[#This Row],[sem7.forma]]&lt;&gt;"",Tabela_SP1[[#This Row],[sem7.forma]],"")</calculatedColumnFormula>
    </tableColumn>
    <tableColumn id="39" xr3:uid="{98AC119C-4882-43BF-B078-D4F9CAEDCA49}" name="sem8.godziny" dataDxfId="387">
      <calculatedColumnFormula array="1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calculatedColumnFormula>
    </tableColumn>
    <tableColumn id="40" xr3:uid="{F5A3775E-EE6E-4D95-B002-0D3FFFF508A7}" name="sem8.ects" dataDxfId="386">
      <calculatedColumnFormula array="1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calculatedColumnFormula>
    </tableColumn>
    <tableColumn id="41" xr3:uid="{BD4F9956-2F6E-41EB-A7F6-854970D41E97}" name="sem8.forma" dataDxfId="385">
      <calculatedColumnFormula>IF(Tabela_SP1[[#This Row],[sem8.forma]]&lt;&gt;"",Tabela_SP1[[#This Row],[sem8.forma]],"")</calculatedColumnFormula>
    </tableColumn>
    <tableColumn id="42" xr3:uid="{9D584DEC-091C-4F82-BE3F-99FA20C06F02}" name="sem9.godziny" dataDxfId="384">
      <calculatedColumnFormula array="1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calculatedColumnFormula>
    </tableColumn>
    <tableColumn id="43" xr3:uid="{7F59F834-2B7F-43CD-BCD7-8E7D197D668B}" name="sem9.ects" dataDxfId="383">
      <calculatedColumnFormula array="1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calculatedColumnFormula>
    </tableColumn>
    <tableColumn id="44" xr3:uid="{96D9B703-BB17-4CD8-BD7C-F3F921DF845F}" name="sem9.forma" dataDxfId="382">
      <calculatedColumnFormula>IF(Tabela_SP1[[#This Row],[sem9.forma]]&lt;&gt;"",Tabela_SP1[[#This Row],[sem9.forma]],"")</calculatedColumnFormula>
    </tableColumn>
    <tableColumn id="45" xr3:uid="{18827B87-1EC4-413B-B64C-CD4227538EB4}" name="sem10.godziny" dataDxfId="381">
      <calculatedColumnFormula array="1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calculatedColumnFormula>
    </tableColumn>
    <tableColumn id="46" xr3:uid="{1D9B676D-1719-473B-9813-6FDE8B8F3358}" name="sem10.ects" dataDxfId="380">
      <calculatedColumnFormula array="1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calculatedColumnFormula>
    </tableColumn>
    <tableColumn id="47" xr3:uid="{BE659CBF-C833-494C-950E-9CD797BBBEBC}" name="sem10.forma" dataDxfId="379">
      <calculatedColumnFormula>IF(Tabela_SP1[[#This Row],[sem10.forma]]&lt;&gt;"",Tabela_SP1[[#This Row],[sem10.forma]],"")</calculatedColumnFormula>
    </tableColumn>
    <tableColumn id="30" xr3:uid="{B64C59FB-E996-42A4-9297-B25EB365A9EF}" name="ects.razem" dataDxfId="378">
      <calculatedColumnFormula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calculatedColumnFormula>
    </tableColumn>
    <tableColumn id="31" xr3:uid="{6AA5B372-D93E-4CFC-A6E7-33B6B9684D6F}" name="ects.umiej.prakt." dataDxfId="377">
      <calculatedColumnFormula>IF(ISERR(SEARCH("UP",Tabela_SP1_nst[[#This Row],[Umiej.prakt.]],1)),0,Tabela_SP1_nst[[#This Row],[ects.razem]])</calculatedColumnFormula>
    </tableColumn>
    <tableColumn id="32" xr3:uid="{2C9DDA95-FAC7-428F-AF80-44DF777C7382}" name="ects.bezposr.nauczyciel" dataDxfId="376">
      <calculatedColumnFormula>IF(Tabela_SP1_nst[[#This Row],[czy.ects]]="TAK",ROUND((SUM(Tabela_SP1_nst[[#This Row],[godziny.konsultacja]],Tabela_SP1_nst[[#This Row],[godziny.egzamin]],Tabela_SP1_nst[[#This Row],[godziny.zajec.razem]])/25)/0.5,0)*0.5,0)</calculatedColumnFormula>
    </tableColumn>
    <tableColumn id="33" xr3:uid="{BC247E1F-EF17-4AC1-95EF-558C04981E7A}" name="godziny.razem.student" dataDxfId="375">
      <calculatedColumnFormula>SUM(Tabela_SP1_nst[[#This Row],[godziny.samoksztalcenie]],Tabela_SP1_nst[[#This Row],[godziny.konsultacja]],Tabela_SP1_nst[[#This Row],[godziny.egzamin]],Tabela_SP1_nst[[#This Row],[godziny.zajec.razem]])</calculatedColumnFormula>
    </tableColumn>
    <tableColumn id="34" xr3:uid="{34C5B63B-CE11-4223-9061-53EE909FBE63}" name="godziny.samoksztalcenie" dataDxfId="374">
      <calculatedColumnFormula>Tabela_SP1[[#This Row],[godziny.samoksztalcenie]]+(Tabela_SP1[[#This Row],[godziny.zajec.razem]]-Tabela_SP1_nst[[#This Row],[godziny.zajec.razem]])</calculatedColumnFormula>
    </tableColumn>
    <tableColumn id="35" xr3:uid="{08C2D70C-DAB1-4DB8-ABE1-7E90F3E73280}" name="godziny.konsultacja" dataDxfId="373">
      <calculatedColumnFormula>Tabela_SP1[[#This Row],[godziny.konsultacja]]</calculatedColumnFormula>
    </tableColumn>
    <tableColumn id="36" xr3:uid="{82B05A10-59AD-4153-99DF-96E0CD35E791}" name="godziny.egzamin" dataDxfId="372">
      <calculatedColumnFormula>Tabela_SP1[[#This Row],[godziny.egzamin]]</calculatedColumnFormula>
    </tableColumn>
    <tableColumn id="37" xr3:uid="{BB2EFC28-AAB6-42B0-AE0D-1AC0DCB3C475}" name="godziny.zajec.razem" dataDxfId="371">
      <calculatedColumnFormula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calculatedColumnFormula>
    </tableColumn>
    <tableColumn id="38" xr3:uid="{9A098638-CB0F-4DAD-AA0B-E03A6757FB44}" name="ects.bezpos.kontakt.procent" dataDxfId="370">
      <calculatedColumnFormula>IF(Tabela_SP1_nst[[#This Row],[ects.bezposr.nauczyciel]],Tabela_SP1_nst[[#This Row],[ects.bezposr.nauczyciel]]/Tabela_SP1_nst[[#This Row],[ects.razem]],0)</calculatedColumnFormula>
    </tableColumn>
  </tableColumns>
  <tableStyleInfo showFirstColumn="0" showLastColumn="0" showRowStripes="0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E99036E-42D7-4EFA-AEC0-6D71BB8ECDC2}" name="Tabela_SP2_nst" displayName="Tabela_SP2_nst" ref="B104:AV118" headerRowDxfId="369" dataDxfId="367" totalsRowDxfId="365" headerRowBorderDxfId="368" tableBorderDxfId="366">
  <autoFilter ref="B104:AV118" xr:uid="{F16F9DC1-2444-4860-840A-8C00951A8AD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9EEA8F65-CA4F-40DD-BF92-E113067B03C0}" name="kod.isced" totalsRowLabel="Total" dataDxfId="364" totalsRowDxfId="363">
      <calculatedColumnFormula>IF(Tabela_SP2[[#This Row],[kod.isced]]&lt;&gt;"",Tabela_SP2[[#This Row],[kod.isced]],"")</calculatedColumnFormula>
    </tableColumn>
    <tableColumn id="2" xr3:uid="{E3E574E8-2EDC-4A71-893D-3D7C9753F237}" name="kod.dziedziny" dataDxfId="362" totalsRowDxfId="361">
      <calculatedColumnFormula>IF(Tabela_SP2[[#This Row],[kod.dziedziny]]&lt;&gt;"",Tabela_SP2[[#This Row],[kod.dziedziny]],"")</calculatedColumnFormula>
    </tableColumn>
    <tableColumn id="3" xr3:uid="{979B5257-D3C5-4D04-8B8D-F6935D7A6065}" name="Modul" dataDxfId="360">
      <calculatedColumnFormula>IF(Tabela_SP2[[#This Row],[Modul]]&lt;&gt;"",Tabela_SP2[[#This Row],[Modul]],"")</calculatedColumnFormula>
    </tableColumn>
    <tableColumn id="4" xr3:uid="{B2F83EA7-DCA9-4593-98A2-A5BB67D229D3}" name="Umiej.prakt." dataDxfId="359">
      <calculatedColumnFormula>IF(Tabela_SP2[[#This Row],[Umiej.prakt.]]&lt;&gt;"",Tabela_SP2[[#This Row],[Umiej.prakt.]],"")</calculatedColumnFormula>
    </tableColumn>
    <tableColumn id="5" xr3:uid="{3F3FC810-5DB5-4D37-A1EF-4BDDF3013116}" name="Nazwa przedmiotu" dataDxfId="358">
      <calculatedColumnFormula>IF(Tabela_SP2[[#This Row],[Nazwa przedmiotu]]&lt;&gt;"",Tabela_SP2[[#This Row],[Nazwa przedmiotu]],"")</calculatedColumnFormula>
    </tableColumn>
    <tableColumn id="6" xr3:uid="{F35B33C9-D1DE-44F2-836A-14B07547055F}" name="Prowadzacy" dataDxfId="357" totalsRowDxfId="356">
      <calculatedColumnFormula>IF(Tabela_SP2[[#This Row],[Prowadzacy]]&lt;&gt;"",Tabela_SP2[[#This Row],[Prowadzacy]],"")</calculatedColumnFormula>
    </tableColumn>
    <tableColumn id="7" xr3:uid="{EFD90DC2-0BCE-42BD-9F42-4271ABE43CB4}" name="Forma" dataDxfId="355" totalsRowDxfId="354">
      <calculatedColumnFormula>IF(Tabela_SP2[[#This Row],[Forma]]&lt;&gt;"",Tabela_SP2[[#This Row],[Forma]],"")</calculatedColumnFormula>
    </tableColumn>
    <tableColumn id="8" xr3:uid="{43296CD7-135F-4B4D-936C-A361C7213251}" name="czy.ects" dataDxfId="353" totalsRowDxfId="352">
      <calculatedColumnFormula>IF(Tabela_SP2[[#This Row],[czy.ects]]&lt;&gt;"",Tabela_SP2[[#This Row],[czy.ects]],"")</calculatedColumnFormula>
    </tableColumn>
    <tableColumn id="9" xr3:uid="{D6199175-5B90-4979-ACA5-BDBCEBB9F087}" name="sem1.godziny" dataDxfId="351" totalsRowDxfId="350">
      <calculatedColumnFormula array="1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calculatedColumnFormula>
    </tableColumn>
    <tableColumn id="10" xr3:uid="{E9C82401-927D-4A51-BF8D-2EA9A62971D3}" name="sem1.ects" dataDxfId="349" totalsRowDxfId="348">
      <calculatedColumnFormula array="1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calculatedColumnFormula>
    </tableColumn>
    <tableColumn id="11" xr3:uid="{6876EC11-00FA-401D-AE14-F92E9BAC2601}" name="sem1.forma" dataDxfId="347" totalsRowDxfId="346">
      <calculatedColumnFormula>IF(Tabela_SP2[[#This Row],[sem1.forma]]&lt;&gt;"",Tabela_SP2[[#This Row],[sem1.forma]],"")</calculatedColumnFormula>
    </tableColumn>
    <tableColumn id="12" xr3:uid="{D7D569A6-4AD4-4782-BA53-A3E10B921D04}" name="sem2.godziny" dataDxfId="345" totalsRowDxfId="344">
      <calculatedColumnFormula array="1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calculatedColumnFormula>
    </tableColumn>
    <tableColumn id="13" xr3:uid="{25B28326-9B87-4B73-8DE5-75B1896D9EA7}" name="sem2.ects" dataDxfId="343" totalsRowDxfId="342">
      <calculatedColumnFormula array="1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calculatedColumnFormula>
    </tableColumn>
    <tableColumn id="14" xr3:uid="{6F486E66-58AD-46FC-A8CB-590693DCD62F}" name="sem2.forma" dataDxfId="341" totalsRowDxfId="340">
      <calculatedColumnFormula>IF(Tabela_SP2[[#This Row],[sem2.forma]]&lt;&gt;"",Tabela_SP2[[#This Row],[sem2.forma]],"")</calculatedColumnFormula>
    </tableColumn>
    <tableColumn id="15" xr3:uid="{B9B63B42-9B52-4A6A-8134-D4A4917D37C5}" name="sem3.godziny" dataDxfId="339" totalsRowDxfId="338">
      <calculatedColumnFormula array="1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calculatedColumnFormula>
    </tableColumn>
    <tableColumn id="16" xr3:uid="{E79CA9F4-3FDA-482B-AC70-E792DDF7AD8E}" name="sem3.ects" dataDxfId="337" totalsRowDxfId="336">
      <calculatedColumnFormula array="1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calculatedColumnFormula>
    </tableColumn>
    <tableColumn id="17" xr3:uid="{ECE76529-CABA-4E35-996A-27A96588CE81}" name="sem3.forma" dataDxfId="335" totalsRowDxfId="334">
      <calculatedColumnFormula>IF(Tabela_SP2[[#This Row],[sem3.forma]]&lt;&gt;"",Tabela_SP2[[#This Row],[sem3.forma]],"")</calculatedColumnFormula>
    </tableColumn>
    <tableColumn id="18" xr3:uid="{0B4357A2-9A79-435A-BD8E-2DD4E8253823}" name="sem4.godziny" dataDxfId="333" totalsRowDxfId="332">
      <calculatedColumnFormula array="1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calculatedColumnFormula>
    </tableColumn>
    <tableColumn id="19" xr3:uid="{7C34F97A-8800-4A23-AD0C-DAE46F606085}" name="sem4.ects" dataDxfId="331" totalsRowDxfId="330">
      <calculatedColumnFormula array="1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calculatedColumnFormula>
    </tableColumn>
    <tableColumn id="20" xr3:uid="{9B326554-A18E-41AB-875A-49C3579FA62F}" name="sem4.forma" dataDxfId="329" totalsRowDxfId="328">
      <calculatedColumnFormula>IF(Tabela_SP2[[#This Row],[sem4.forma]]&lt;&gt;"",Tabela_SP2[[#This Row],[sem4.forma]],"")</calculatedColumnFormula>
    </tableColumn>
    <tableColumn id="21" xr3:uid="{266A57F5-A62F-45FF-A672-F8F9FAEEB963}" name="sem5.godziny" dataDxfId="327" totalsRowDxfId="326">
      <calculatedColumnFormula array="1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calculatedColumnFormula>
    </tableColumn>
    <tableColumn id="22" xr3:uid="{19FD1479-BD14-41F1-8AB8-2F59FEBAB9ED}" name="sem5.ects" dataDxfId="325" totalsRowDxfId="324">
      <calculatedColumnFormula array="1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calculatedColumnFormula>
    </tableColumn>
    <tableColumn id="23" xr3:uid="{51D61636-A58E-4517-A8D6-1EBC75042AF9}" name="sem5.forma" dataDxfId="323" totalsRowDxfId="322">
      <calculatedColumnFormula>IF(Tabela_SP2[[#This Row],[sem5.forma]]&lt;&gt;"",Tabela_SP2[[#This Row],[sem5.forma]],"")</calculatedColumnFormula>
    </tableColumn>
    <tableColumn id="24" xr3:uid="{E0874245-BB95-4D59-81F0-6C37439FEB32}" name="sem6.godziny" dataDxfId="321" totalsRowDxfId="320">
      <calculatedColumnFormula array="1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calculatedColumnFormula>
    </tableColumn>
    <tableColumn id="25" xr3:uid="{64461F66-9D96-4B5C-B574-5A8A84D971C5}" name="sem6.ects" dataDxfId="319" totalsRowDxfId="318">
      <calculatedColumnFormula array="1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calculatedColumnFormula>
    </tableColumn>
    <tableColumn id="26" xr3:uid="{4FCC67BF-F45A-4C4E-AB79-7732DBC3E272}" name="sem6.forma" dataDxfId="317" totalsRowDxfId="316">
      <calculatedColumnFormula>IF(Tabela_SP2[[#This Row],[sem6.forma]]&lt;&gt;"",Tabela_SP2[[#This Row],[sem6.forma]],"")</calculatedColumnFormula>
    </tableColumn>
    <tableColumn id="27" xr3:uid="{6DD6F82D-8AD6-4EF1-AA41-4919491FA10D}" name="sem7.godziny" dataDxfId="315" totalsRowDxfId="314">
      <calculatedColumnFormula array="1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calculatedColumnFormula>
    </tableColumn>
    <tableColumn id="28" xr3:uid="{8E354AEA-526B-4912-83EA-BA7FC718A9A0}" name="sem7.ects" dataDxfId="313" totalsRowDxfId="312">
      <calculatedColumnFormula array="1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calculatedColumnFormula>
    </tableColumn>
    <tableColumn id="29" xr3:uid="{C51A28A3-9EC6-479F-9F8F-585598B12F9E}" name="sem7.forma" dataDxfId="311" totalsRowDxfId="310">
      <calculatedColumnFormula>IF(Tabela_SP2[[#This Row],[sem7.forma]]&lt;&gt;"",Tabela_SP2[[#This Row],[sem7.forma]],"")</calculatedColumnFormula>
    </tableColumn>
    <tableColumn id="39" xr3:uid="{313D0CDC-1F8B-4C75-9AF2-6C7AF894B183}" name="sem8.godziny" dataDxfId="309" totalsRowDxfId="308">
      <calculatedColumnFormula array="1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calculatedColumnFormula>
    </tableColumn>
    <tableColumn id="40" xr3:uid="{1320EB6C-7F7F-4A50-8DE0-25F8B3B6D788}" name="sem8.ects" dataDxfId="307" totalsRowDxfId="306">
      <calculatedColumnFormula array="1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calculatedColumnFormula>
    </tableColumn>
    <tableColumn id="41" xr3:uid="{D01F814C-6298-4EB0-864F-1A6558587460}" name="sem8.forma" dataDxfId="305" totalsRowDxfId="304">
      <calculatedColumnFormula>IF(Tabela_SP2[[#This Row],[sem8.forma]]&lt;&gt;"",Tabela_SP2[[#This Row],[sem8.forma]],"")</calculatedColumnFormula>
    </tableColumn>
    <tableColumn id="42" xr3:uid="{6C138449-7340-4091-8E9E-5529DB77BA60}" name="sem9.godziny" dataDxfId="303" totalsRowDxfId="302">
      <calculatedColumnFormula array="1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calculatedColumnFormula>
    </tableColumn>
    <tableColumn id="43" xr3:uid="{A25EE482-2D6A-4930-932E-BDC08925A46E}" name="sem9.ects" dataDxfId="301" totalsRowDxfId="300">
      <calculatedColumnFormula array="1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calculatedColumnFormula>
    </tableColumn>
    <tableColumn id="44" xr3:uid="{971A2FE2-8702-4772-820E-B258E8BC1B11}" name="sem9.forma" dataDxfId="299" totalsRowDxfId="298">
      <calculatedColumnFormula>IF(Tabela_SP2[[#This Row],[sem9.forma]]&lt;&gt;"",Tabela_SP2[[#This Row],[sem9.forma]],"")</calculatedColumnFormula>
    </tableColumn>
    <tableColumn id="45" xr3:uid="{701E19CC-DD15-42C1-A065-85635D4E91D5}" name="sem10.godziny" dataDxfId="297" totalsRowDxfId="296">
      <calculatedColumnFormula array="1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calculatedColumnFormula>
    </tableColumn>
    <tableColumn id="46" xr3:uid="{6556617D-90FB-4244-8785-057F7B169670}" name="sem10.ects" dataDxfId="295" totalsRowDxfId="294">
      <calculatedColumnFormula array="1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calculatedColumnFormula>
    </tableColumn>
    <tableColumn id="47" xr3:uid="{04E73FFE-7C32-4961-94CD-DA0BEEADE423}" name="sem10.forma" dataDxfId="293" totalsRowDxfId="292">
      <calculatedColumnFormula>IF(Tabela_SP2[[#This Row],[sem10.forma]]&lt;&gt;"",Tabela_SP2[[#This Row],[sem10.forma]],"")</calculatedColumnFormula>
    </tableColumn>
    <tableColumn id="30" xr3:uid="{1AD5F5AC-BF68-42D6-AC64-5A963306BAC7}" name="ects.razem" dataDxfId="291" totalsRowDxfId="290">
      <calculatedColumnFormula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calculatedColumnFormula>
    </tableColumn>
    <tableColumn id="31" xr3:uid="{246EAAEA-0DC1-454A-8DA6-F87971BD3A29}" name="ects.umiej.prakt." dataDxfId="289" totalsRowDxfId="288">
      <calculatedColumnFormula>IF(ISERR(SEARCH("UP",Tabela_SP2_nst[[#This Row],[Umiej.prakt.]],1)),0,Tabela_SP2_nst[[#This Row],[ects.razem]])</calculatedColumnFormula>
    </tableColumn>
    <tableColumn id="32" xr3:uid="{717CD388-7DC9-4C88-AFA3-BA11DC8369B9}" name="ects.bezposr.nauczyciel" dataDxfId="287" totalsRowDxfId="286">
      <calculatedColumnFormula>IF(Tabela_SP2_nst[[#This Row],[czy.ects]]="TAK",ROUND((SUM(Tabela_SP2_nst[[#This Row],[godziny.konsultacja]],Tabela_SP2_nst[[#This Row],[godziny.egzamin]],Tabela_SP2_nst[[#This Row],[godziny.zajec.razem]])/25)/0.5,0)*0.5,0)</calculatedColumnFormula>
    </tableColumn>
    <tableColumn id="33" xr3:uid="{372EAD37-7448-4A8A-8D47-6CD610345D31}" name="godziny.razem.student" dataDxfId="285" totalsRowDxfId="284">
      <calculatedColumnFormula>SUM(Tabela_SP2_nst[[#This Row],[godziny.samoksztalcenie]],Tabela_SP2_nst[[#This Row],[godziny.konsultacja]],Tabela_SP2_nst[[#This Row],[godziny.egzamin]],Tabela_SP2_nst[[#This Row],[godziny.zajec.razem]])</calculatedColumnFormula>
    </tableColumn>
    <tableColumn id="34" xr3:uid="{E13A48F7-589A-47DB-BF4B-3470CF510AFA}" name="godziny.samoksztalcenie" dataDxfId="283" totalsRowDxfId="282">
      <calculatedColumnFormula>Tabela_SP2[[#This Row],[godziny.samoksztalcenie]]+(Tabela_SP2[[#This Row],[godziny.zajec.razem]]-Tabela_SP2_nst[[#This Row],[godziny.zajec.razem]])</calculatedColumnFormula>
    </tableColumn>
    <tableColumn id="35" xr3:uid="{C3B6140D-6AB7-4714-B1A4-34AE79DA95D5}" name="godziny.konsultacja" dataDxfId="281" totalsRowDxfId="280">
      <calculatedColumnFormula>Tabela_SP2[[#This Row],[godziny.konsultacja]]</calculatedColumnFormula>
    </tableColumn>
    <tableColumn id="36" xr3:uid="{6939E704-F86C-4E1B-A3A4-13A9284D27B0}" name="godziny.egzamin" dataDxfId="279" totalsRowDxfId="278">
      <calculatedColumnFormula>Tabela_SP2[[#This Row],[godziny.egzamin]]</calculatedColumnFormula>
    </tableColumn>
    <tableColumn id="37" xr3:uid="{1F71D66D-C40F-4308-A86A-8A53B80661DD}" name="godziny.zajec.razem" dataDxfId="277" totalsRowDxfId="276">
      <calculatedColumnFormula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calculatedColumnFormula>
    </tableColumn>
    <tableColumn id="38" xr3:uid="{A217F9C2-DDCD-4B23-9BEA-EE3D4102E1CF}" name="ects.bezpos.kontakt.procent" totalsRowFunction="sum" dataDxfId="275" totalsRowDxfId="274">
      <calculatedColumnFormula>IF(Tabela_SP2_nst[[#This Row],[ects.bezposr.nauczyciel]],Tabela_SP2_nst[[#This Row],[ects.bezposr.nauczyciel]]/Tabela_SP2_nst[[#This Row],[ects.razem]],0)</calculatedColumnFormula>
    </tableColumn>
  </tableColumns>
  <tableStyleInfo showFirstColumn="0" showLastColumn="0" showRowStripes="0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691AE13-23F6-44B0-BC4C-D7514901DEF3}" name="Tabela_ogolne_nst" displayName="Tabela_ogolne_nst" ref="B16:AV24" totalsRowShown="0" headerRowDxfId="273" dataDxfId="271" headerRowBorderDxfId="272" tableBorderDxfId="270" totalsRowBorderDxfId="269">
  <autoFilter ref="B16:AV24" xr:uid="{B20B6D12-D2CC-4308-BCC9-DB8FEC0CCEF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</autoFilter>
  <tableColumns count="47">
    <tableColumn id="1" xr3:uid="{127172AD-7198-4623-A7B2-966A35A5F61A}" name="kod.isced" dataDxfId="268">
      <calculatedColumnFormula>IF(Tabela_ogolne[[#This Row],[kod.isced]]&lt;&gt;"",Tabela_ogolne[[#This Row],[kod.isced]],"")</calculatedColumnFormula>
    </tableColumn>
    <tableColumn id="2" xr3:uid="{4802F6BE-5601-4276-BE7A-5DB19A1D0C19}" name="kod.dziedziny" dataDxfId="267">
      <calculatedColumnFormula>IF(Tabela_ogolne[[#This Row],[kod.dziedziny]]&lt;&gt;"",Tabela_ogolne[[#This Row],[kod.dziedziny]],"")</calculatedColumnFormula>
    </tableColumn>
    <tableColumn id="3" xr3:uid="{8399CFB5-D790-4A07-B8D1-C0C811E5C227}" name="Modul" dataDxfId="266">
      <calculatedColumnFormula>IF(Tabela_ogolne[[#This Row],[Modul]]&lt;&gt;"",Tabela_ogolne[[#This Row],[Modul]],"")</calculatedColumnFormula>
    </tableColumn>
    <tableColumn id="4" xr3:uid="{75C61B1C-C0C4-4FD8-AA79-17B0C11B5E40}" name="Umiej.prakt." dataDxfId="265">
      <calculatedColumnFormula>IF(Tabela_ogolne[[#This Row],[Umiej.prakt.]]&lt;&gt;"",Tabela_ogolne[[#This Row],[Umiej.prakt.]],"")</calculatedColumnFormula>
    </tableColumn>
    <tableColumn id="5" xr3:uid="{251822D7-6993-4D37-B83C-A3EF259D2671}" name="Nazwa przedmiotu" dataDxfId="264">
      <calculatedColumnFormula>IF(Tabela_ogolne[[#This Row],[Nazwa przedmiotu]]&lt;&gt;"",Tabela_ogolne[[#This Row],[Nazwa przedmiotu]],"")</calculatedColumnFormula>
    </tableColumn>
    <tableColumn id="6" xr3:uid="{5C4109A4-AEC8-4016-BE73-9944797044A6}" name="Prowadzacy" dataDxfId="263">
      <calculatedColumnFormula>IF(Tabela_ogolne[[#This Row],[Prowadzacy]]&lt;&gt;"",Tabela_ogolne[[#This Row],[Prowadzacy]],"")</calculatedColumnFormula>
    </tableColumn>
    <tableColumn id="7" xr3:uid="{D573A848-280D-421E-96CE-0080FF5BA457}" name="Forma" dataDxfId="262">
      <calculatedColumnFormula>IF(Tabela_ogolne[[#This Row],[Forma]]&lt;&gt;"",Tabela_ogolne[[#This Row],[Forma]],"")</calculatedColumnFormula>
    </tableColumn>
    <tableColumn id="8" xr3:uid="{5526667C-EA03-4B15-B04C-B4C83A45FCF8}" name="czy.ects" dataDxfId="261">
      <calculatedColumnFormula>IF(Tabela_ogolne[[#This Row],[czy.ects]]&lt;&gt;"",Tabela_ogolne[[#This Row],[czy.ects]],"")</calculatedColumnFormula>
    </tableColumn>
    <tableColumn id="9" xr3:uid="{D361C3DB-8C4A-4491-9532-11B4113C8FFB}" name="sem1.godziny" dataDxfId="260">
      <calculatedColumnFormula>IF(Tabela_ogolne[[#This Row],[sem1.godziny]]&lt;&gt;"",IF(Tabela_ogolne[[#This Row],[sem1.godziny]]&gt;14,Tabela_ogolne[[#This Row],[sem1.godziny]]*0.6,Tabela_ogolne[[#This Row],[sem1.godziny]]),"")</calculatedColumnFormula>
    </tableColumn>
    <tableColumn id="10" xr3:uid="{B08A2125-8ECB-4DC9-89CF-CEEC61847BCC}" name="sem1.ects" dataDxfId="259">
      <calculatedColumnFormula array="1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calculatedColumnFormula>
    </tableColumn>
    <tableColumn id="11" xr3:uid="{FE615450-40AE-45CC-AF4A-339E5852E3AD}" name="sem1.forma" dataDxfId="258">
      <calculatedColumnFormula>IF(Tabela_ogolne[[#This Row],[sem1.forma]]&lt;&gt;"",Tabela_ogolne[[#This Row],[sem1.forma]],"")</calculatedColumnFormula>
    </tableColumn>
    <tableColumn id="12" xr3:uid="{2AAF0DE7-5477-4C47-B5EA-85A72268C8AA}" name="sem2.godziny" dataDxfId="257">
      <calculatedColumnFormula>IF(Tabela_ogolne[[#This Row],[sem2.godziny]]&lt;&gt;"",IF(Tabela_ogolne[[#This Row],[sem2.godziny]]&gt;14,Tabela_ogolne[[#This Row],[sem2.godziny]]*0.6,Tabela_ogolne[[#This Row],[sem2.godziny]]),"")</calculatedColumnFormula>
    </tableColumn>
    <tableColumn id="13" xr3:uid="{684EA6B0-2AD1-4B4C-9C76-AEFCE115B7F7}" name="sem2.ects" dataDxfId="256">
      <calculatedColumnFormula array="1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calculatedColumnFormula>
    </tableColumn>
    <tableColumn id="14" xr3:uid="{580A991B-61E0-41B7-B4FD-8A3D6C880820}" name="sem2.forma" dataDxfId="255">
      <calculatedColumnFormula>IF(Tabela_ogolne[[#This Row],[sem2.forma]]&lt;&gt;"",Tabela_ogolne[[#This Row],[sem2.forma]],"")</calculatedColumnFormula>
    </tableColumn>
    <tableColumn id="15" xr3:uid="{4ADE0FBD-228D-4AA3-AD8D-05557DB1B31D}" name="sem3.godziny" dataDxfId="254">
      <calculatedColumnFormula>IF(Tabela_ogolne[[#This Row],[sem3.godziny]]&lt;&gt;"",IF(Tabela_ogolne[[#This Row],[sem3.godziny]]&gt;14,Tabela_ogolne[[#This Row],[sem3.godziny]]*0.6,Tabela_ogolne[[#This Row],[sem3.godziny]]),"")</calculatedColumnFormula>
    </tableColumn>
    <tableColumn id="16" xr3:uid="{6A478019-D89F-4113-847D-6AE471A8C21B}" name="sem3.ects" dataDxfId="253">
      <calculatedColumnFormula array="1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calculatedColumnFormula>
    </tableColumn>
    <tableColumn id="17" xr3:uid="{15005E79-AEE5-4778-9C3B-E53AE8641945}" name="sem3.forma" dataDxfId="252">
      <calculatedColumnFormula>IF(Tabela_ogolne[[#This Row],[sem3.forma]]&lt;&gt;"",Tabela_ogolne[[#This Row],[sem3.forma]],"")</calculatedColumnFormula>
    </tableColumn>
    <tableColumn id="18" xr3:uid="{79F09FEF-0DAD-4AFF-B13C-5612DF5A3596}" name="sem4.godziny" dataDxfId="251">
      <calculatedColumnFormula>IF(Tabela_ogolne[[#This Row],[sem4.godziny]]&lt;&gt;"",IF(Tabela_ogolne[[#This Row],[sem4.godziny]]&gt;14,Tabela_ogolne[[#This Row],[sem4.godziny]]*0.6,Tabela_ogolne[[#This Row],[sem4.godziny]]),"")</calculatedColumnFormula>
    </tableColumn>
    <tableColumn id="19" xr3:uid="{9D135C8C-B320-4F42-8753-2E68199D5DA0}" name="sem4.ects" dataDxfId="250">
      <calculatedColumnFormula array="1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calculatedColumnFormula>
    </tableColumn>
    <tableColumn id="20" xr3:uid="{04BD352F-F980-4FD9-85AB-8E06B3D1440F}" name="sem4.forma" dataDxfId="249">
      <calculatedColumnFormula>IF(Tabela_ogolne[[#This Row],[sem4.forma]]&lt;&gt;"",Tabela_ogolne[[#This Row],[sem4.forma]],"")</calculatedColumnFormula>
    </tableColumn>
    <tableColumn id="21" xr3:uid="{9953563C-2A95-4ACD-9FB9-A7926BA92D94}" name="sem5.godziny" dataDxfId="248">
      <calculatedColumnFormula>IF(Tabela_ogolne[[#This Row],[sem5.godziny]]&lt;&gt;"",IF(Tabela_ogolne[[#This Row],[sem5.godziny]]&gt;14,Tabela_ogolne[[#This Row],[sem5.godziny]]*0.6,Tabela_ogolne[[#This Row],[sem5.godziny]]),"")</calculatedColumnFormula>
    </tableColumn>
    <tableColumn id="22" xr3:uid="{ECDEDBBE-1EA6-48BD-AC4C-44FA37D2856F}" name="sem5.ects" dataDxfId="247">
      <calculatedColumnFormula array="1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calculatedColumnFormula>
    </tableColumn>
    <tableColumn id="23" xr3:uid="{33B03892-6787-49E5-A19E-30D279784A5D}" name="sem5.forma" dataDxfId="246">
      <calculatedColumnFormula>IF(Tabela_ogolne[[#This Row],[sem5.forma]]&lt;&gt;"",Tabela_ogolne[[#This Row],[sem5.forma]],"")</calculatedColumnFormula>
    </tableColumn>
    <tableColumn id="24" xr3:uid="{E9C4E9B3-DB06-473A-962A-7D2471448078}" name="sem6.godziny" dataDxfId="245">
      <calculatedColumnFormula>IF(Tabela_ogolne[[#This Row],[sem6.godziny]]&lt;&gt;"",IF(Tabela_ogolne[[#This Row],[sem6.godziny]]&gt;14,Tabela_ogolne[[#This Row],[sem6.godziny]]*0.6,Tabela_ogolne[[#This Row],[sem6.godziny]]),"")</calculatedColumnFormula>
    </tableColumn>
    <tableColumn id="25" xr3:uid="{E64BF5BE-63C2-46A8-B579-57C5C49908E4}" name="sem6.ects" dataDxfId="244">
      <calculatedColumnFormula array="1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calculatedColumnFormula>
    </tableColumn>
    <tableColumn id="26" xr3:uid="{339A7AEC-AB80-4A90-A251-824041465250}" name="sem6.forma" dataDxfId="243">
      <calculatedColumnFormula>IF(Tabela_ogolne[[#This Row],[sem6.forma]]&lt;&gt;"",Tabela_ogolne[[#This Row],[sem6.forma]],"")</calculatedColumnFormula>
    </tableColumn>
    <tableColumn id="27" xr3:uid="{8107AB1A-6B55-4369-92CF-47256AB8914C}" name="sem7.godziny" dataDxfId="242">
      <calculatedColumnFormula>IF(Tabela_ogolne[[#This Row],[sem7.godziny]]&lt;&gt;"",IF(Tabela_ogolne[[#This Row],[sem7.godziny]]&gt;14,Tabela_ogolne[[#This Row],[sem7.godziny]]*0.6,Tabela_ogolne[[#This Row],[sem7.godziny]]),"")</calculatedColumnFormula>
    </tableColumn>
    <tableColumn id="28" xr3:uid="{C3DDD680-6CE7-41D5-9065-066FF2FE857B}" name="sem7.ects" dataDxfId="241">
      <calculatedColumnFormula array="1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calculatedColumnFormula>
    </tableColumn>
    <tableColumn id="29" xr3:uid="{289EA91F-4C5D-4EB7-AF7D-7F8152E26D15}" name="sem7.forma" dataDxfId="240">
      <calculatedColumnFormula>IF(Tabela_ogolne[[#This Row],[sem7.forma]]&lt;&gt;"",Tabela_ogolne[[#This Row],[sem7.forma]],"")</calculatedColumnFormula>
    </tableColumn>
    <tableColumn id="39" xr3:uid="{03FF7813-FD76-47E9-880D-D790E9F84E22}" name="sem8.godziny" dataDxfId="239">
      <calculatedColumnFormula>IF(Tabela_ogolne[[#This Row],[sem8.godziny]]&lt;&gt;"",IF(Tabela_ogolne[[#This Row],[sem8.godziny]]&gt;14,Tabela_ogolne[[#This Row],[sem8.godziny]]*0.6,Tabela_ogolne[[#This Row],[sem8.godziny]]),"")</calculatedColumnFormula>
    </tableColumn>
    <tableColumn id="40" xr3:uid="{A179AB06-1FA5-4D07-B2CB-7D4EF94B951F}" name="sem8.ects" dataDxfId="238">
      <calculatedColumnFormula array="1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calculatedColumnFormula>
    </tableColumn>
    <tableColumn id="41" xr3:uid="{EC0F0102-E7CE-4042-9069-245F652FB9CA}" name="sem8.forma" dataDxfId="237">
      <calculatedColumnFormula>IF(Tabela_ogolne[[#This Row],[sem8.forma]]&lt;&gt;"",Tabela_ogolne[[#This Row],[sem8.forma]],"")</calculatedColumnFormula>
    </tableColumn>
    <tableColumn id="42" xr3:uid="{FC93BFBE-20B1-4F16-A9AF-9A3EB51CF65F}" name="sem9.godziny" dataDxfId="236">
      <calculatedColumnFormula>IF(Tabela_ogolne[[#This Row],[sem9.godziny]]&lt;&gt;"",IF(Tabela_ogolne[[#This Row],[sem9.godziny]]&gt;14,Tabela_ogolne[[#This Row],[sem9.godziny]]*0.6,Tabela_ogolne[[#This Row],[sem9.godziny]]),"")</calculatedColumnFormula>
    </tableColumn>
    <tableColumn id="43" xr3:uid="{50DFB6BF-827E-447F-86CF-16ABF7C290FC}" name="sem9.ects" dataDxfId="235">
      <calculatedColumnFormula array="1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calculatedColumnFormula>
    </tableColumn>
    <tableColumn id="44" xr3:uid="{02517D43-311F-4376-8FCB-AF951E49A425}" name="sem9.forma" dataDxfId="234">
      <calculatedColumnFormula>IF(Tabela_ogolne[[#This Row],[sem9.forma]]&lt;&gt;"",Tabela_ogolne[[#This Row],[sem9.forma]],"")</calculatedColumnFormula>
    </tableColumn>
    <tableColumn id="45" xr3:uid="{54D2FE61-A4A0-47CA-BC0C-E21C6A8B12FC}" name="sem10.godziny" dataDxfId="233">
      <calculatedColumnFormula>IF(Tabela_ogolne[[#This Row],[sem10.godziny]]&lt;&gt;"",IF(Tabela_ogolne[[#This Row],[sem10.godziny]]&gt;14,Tabela_ogolne[[#This Row],[sem10.godziny]]*0.6,Tabela_ogolne[[#This Row],[sem10.godziny]]),"")</calculatedColumnFormula>
    </tableColumn>
    <tableColumn id="46" xr3:uid="{0B376D5B-AEF5-4CBD-9970-CB889932F5E8}" name="sem10.ects" dataDxfId="232">
      <calculatedColumnFormula array="1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calculatedColumnFormula>
    </tableColumn>
    <tableColumn id="47" xr3:uid="{B63F0F18-322F-466F-9A27-81F4564FFD10}" name="sem10.forma" dataDxfId="231">
      <calculatedColumnFormula>IF(Tabela_ogolne[[#This Row],[sem10.forma]]&lt;&gt;"",Tabela_ogolne[[#This Row],[sem10.forma]],"")</calculatedColumnFormula>
    </tableColumn>
    <tableColumn id="30" xr3:uid="{74E560C8-62E4-41D3-A32B-023A90D700A0}" name="ects.razem" dataDxfId="230">
      <calculatedColumnFormula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calculatedColumnFormula>
    </tableColumn>
    <tableColumn id="31" xr3:uid="{01044491-DC09-4931-8DFA-01C9BCC37443}" name="ects.umiej.prakt." dataDxfId="229">
      <calculatedColumnFormula>IF(ISERR(SEARCH("UP",Tabela_ogolne_nst[[#This Row],[Umiej.prakt.]],1)),0,Tabela_ogolne_nst[[#This Row],[ects.razem]])</calculatedColumnFormula>
    </tableColumn>
    <tableColumn id="32" xr3:uid="{14BC0F05-4C13-4CC6-8E8C-79070FA7872F}" name="ects.bezposr.nauczyciel" dataDxfId="228">
      <calculatedColumnFormula>IF(Tabela_ogolne_nst[[#This Row],[czy.ects]]="TAK",ROUND((SUM(Tabela_ogolne_nst[[#This Row],[godziny.konsultacja]],Tabela_ogolne_nst[[#This Row],[godziny.egzamin]],Tabela_ogolne_nst[[#This Row],[godziny.zajec.razem]])/25)/0.5,0)*0.5,0)</calculatedColumnFormula>
    </tableColumn>
    <tableColumn id="33" xr3:uid="{8FCCE711-6AFE-49FA-9D43-B27414761DAC}" name="godziny.razem.student" dataDxfId="227">
      <calculatedColumnFormula>SUM(Tabela_ogolne_nst[[#This Row],[godziny.samoksztalcenie]],Tabela_ogolne_nst[[#This Row],[godziny.konsultacja]],Tabela_ogolne_nst[[#This Row],[godziny.egzamin]],Tabela_ogolne_nst[[#This Row],[godziny.zajec.razem]])</calculatedColumnFormula>
    </tableColumn>
    <tableColumn id="34" xr3:uid="{65D986BB-D74C-4703-B52F-B4A0B17CD2C0}" name="godziny.samoksztalcenie" dataDxfId="226">
      <calculatedColumnFormula>Tabela_ogolne[[#This Row],[godziny.samoksztalcenie]]+(Tabela_ogolne[[#This Row],[godziny.zajec.razem]]-Tabela_ogolne_nst[[#This Row],[godziny.zajec.razem]])</calculatedColumnFormula>
    </tableColumn>
    <tableColumn id="35" xr3:uid="{40BDC6F8-B897-4D95-A535-CEB33375484F}" name="godziny.konsultacja" dataDxfId="225">
      <calculatedColumnFormula>Tabela_ogolne[[#This Row],[godziny.konsultacja]]</calculatedColumnFormula>
    </tableColumn>
    <tableColumn id="36" xr3:uid="{13BE84B1-2195-45BD-834A-0B95C7DBE63D}" name="godziny.egzamin" dataDxfId="224">
      <calculatedColumnFormula>Tabela_ogolne[[#This Row],[godziny.egzamin]]</calculatedColumnFormula>
    </tableColumn>
    <tableColumn id="37" xr3:uid="{A1FCB001-7FBC-4140-B088-3466EF773593}" name="godziny.zajec.razem" dataDxfId="223">
      <calculatedColumnFormula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calculatedColumnFormula>
    </tableColumn>
    <tableColumn id="38" xr3:uid="{C1C4CECE-4F80-4458-A6E3-39567115C947}" name="ects.bezpos.kontakt.procent" dataDxfId="222">
      <calculatedColumnFormula>IF(Tabela_ogolne_nst[[#This Row],[ects.bezposr.nauczyciel]],Tabela_ogolne_nst[[#This Row],[ects.bezposr.nauczyciel]]/Tabela_ogolne_nst[[#This Row],[ects.razem]],0)</calculatedColumnFormula>
    </tableColumn>
  </tableColumns>
  <tableStyleInfo showFirstColumn="0" showLastColumn="0" showRowStripes="0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B803A3CD-CF2C-40AD-847F-786255E15770}" name="Tabela_do_wyboru_nst" displayName="Tabela_do_wyboru_nst" ref="B80:AV85" totalsRowShown="0" headerRowDxfId="221" dataDxfId="219" headerRowBorderDxfId="220" tableBorderDxfId="218" totalsRowBorderDxfId="217">
  <autoFilter ref="B80:AV85" xr:uid="{B803A3CD-CF2C-40AD-847F-786255E15770}"/>
  <tableColumns count="47">
    <tableColumn id="1" xr3:uid="{12CE0B87-A69D-4DAA-91DC-086888874FC2}" name="kod.isced" dataDxfId="216">
      <calculatedColumnFormula>IF(Tabela_do_wyboru[[#This Row],[kod.isced]]&lt;&gt;"",Tabela_do_wyboru[[#This Row],[kod.isced]],"")</calculatedColumnFormula>
    </tableColumn>
    <tableColumn id="2" xr3:uid="{05E6276B-10E4-4393-A392-54BF7DC602D3}" name="kod.dziedziny" dataDxfId="215">
      <calculatedColumnFormula>IF(Tabela_do_wyboru[[#This Row],[kod.dziedziny]]&lt;&gt;"",Tabela_do_wyboru[[#This Row],[kod.dziedziny]],"")</calculatedColumnFormula>
    </tableColumn>
    <tableColumn id="3" xr3:uid="{4ED55249-BF59-4FEE-8014-BD5DB7FEA178}" name="Modul" dataDxfId="214">
      <calculatedColumnFormula>IF(Tabela_do_wyboru[[#This Row],[Modul]]&lt;&gt;"",Tabela_do_wyboru[[#This Row],[Modul]],"")</calculatedColumnFormula>
    </tableColumn>
    <tableColumn id="4" xr3:uid="{29E2112D-67FF-4FEC-8B40-ADF67E2AF5C9}" name="Umiej.prakt." dataDxfId="213">
      <calculatedColumnFormula>IF(Tabela_do_wyboru[[#This Row],[Umiej.prakt.]]&lt;&gt;"",Tabela_do_wyboru[[#This Row],[Umiej.prakt.]],"")</calculatedColumnFormula>
    </tableColumn>
    <tableColumn id="5" xr3:uid="{223E0020-DCD9-4B46-BFEE-CF0CB6E295C2}" name="Nazwa przedmiotu" dataDxfId="212">
      <calculatedColumnFormula>IF(Tabela_do_wyboru[[#This Row],[Nazwa przedmiotu]]&lt;&gt;"",Tabela_do_wyboru[[#This Row],[Nazwa przedmiotu]],"")</calculatedColumnFormula>
    </tableColumn>
    <tableColumn id="6" xr3:uid="{E583CC27-20AA-4E3A-B3D6-A4ED840FA8A0}" name="Prowadzacy" dataDxfId="211">
      <calculatedColumnFormula>IF(Tabela_do_wyboru[[#This Row],[Prowadzacy]]&lt;&gt;"",Tabela_do_wyboru[[#This Row],[Prowadzacy]],"")</calculatedColumnFormula>
    </tableColumn>
    <tableColumn id="7" xr3:uid="{900BBEE5-D561-4C5F-959C-42A2C452C462}" name="Forma" dataDxfId="210">
      <calculatedColumnFormula>IF(Tabela_do_wyboru[[#This Row],[Forma]]&lt;&gt;"",Tabela_do_wyboru[[#This Row],[Forma]],"")</calculatedColumnFormula>
    </tableColumn>
    <tableColumn id="8" xr3:uid="{6428A272-A157-49FF-837F-556A10D50D6F}" name="czy.ects" dataDxfId="209">
      <calculatedColumnFormula>IF(Tabela_do_wyboru[[#This Row],[czy.ects]]&lt;&gt;"",Tabela_do_wyboru[[#This Row],[czy.ects]],"")</calculatedColumnFormula>
    </tableColumn>
    <tableColumn id="9" xr3:uid="{DCDEE693-ED33-4435-95A5-B3D9D213989A}" name="sem1.godziny" dataDxfId="208">
      <calculatedColumnFormula>IF(Tabela_do_wyboru[[#This Row],[sem1.godziny]]&lt;&gt;"",IF(Tabela_do_wyboru[[#This Row],[sem1.godziny]]&gt;14,Tabela_do_wyboru[[#This Row],[sem1.godziny]]*0.6,Tabela_do_wyboru[[#This Row],[sem1.godziny]]),"")</calculatedColumnFormula>
    </tableColumn>
    <tableColumn id="10" xr3:uid="{632426E0-4B4D-4FD6-87CF-3586B8FA94A4}" name="sem1.ects" dataDxfId="207">
      <calculatedColumnFormula array="1">IF(Tabela_do_wyboru_nst[[#This Row],[czy.ects]]="TAK",_xlfn.IFS(AND(Tabela_do_wyboru_nst[[#This Row],[sem1.godziny]]&gt;=$Q$195,Tabela_do_wyboru_nst[[#This Row],[sem1.forma]]="z"),8,AND(Tabela_do_wyboru_nst[[#This Row],[sem1.godziny]]&gt;=$I$195,Tabela_do_wyboru_nst[[#This Row],[sem1.forma]]="z"),4,AND(Tabela_do_wyboru_nst[[#This Row],[sem1.godziny]]&gt;=$H$195,Tabela_do_wyboru_nst[[#This Row],[sem1.forma]]="e"),2,AND(Tabela_do_wyboru_nst[[#This Row],[sem1.godziny]]&lt;$H$195,Tabela_do_wyboru_nst[[#This Row],[sem1.forma]]="e"),1,AND(Tabela_do_wyboru_nst[[#This Row],[sem1.godziny]]&gt;=$H$195,Tabela_do_wyboru_nst[[#This Row],[sem1.forma]]="z"),2,AND(Tabela_do_wyboru_nst[[#This Row],[sem1.godziny]]&lt;$H$195,Tabela_do_wyboru_nst[[#This Row],[sem1.forma]]="z"),1,TRUE,""),"")</calculatedColumnFormula>
    </tableColumn>
    <tableColumn id="11" xr3:uid="{4C4BC412-525D-40E7-AB21-24D3E03E8626}" name="sem1.forma" dataDxfId="206">
      <calculatedColumnFormula>IF(Tabela_do_wyboru[[#This Row],[sem1.forma]]&lt;&gt;"",Tabela_do_wyboru[[#This Row],[sem1.forma]],"")</calculatedColumnFormula>
    </tableColumn>
    <tableColumn id="12" xr3:uid="{5042862D-E47D-4865-9CCF-161B0A93688D}" name="sem2.godziny" dataDxfId="205">
      <calculatedColumnFormula>IF(Tabela_do_wyboru[[#This Row],[sem2.godziny]]&lt;&gt;"",IF(Tabela_do_wyboru[[#This Row],[sem2.godziny]]&gt;14,Tabela_do_wyboru[[#This Row],[sem2.godziny]]*0.6,Tabela_do_wyboru[[#This Row],[sem2.godziny]]),"")</calculatedColumnFormula>
    </tableColumn>
    <tableColumn id="13" xr3:uid="{D8C17A85-2119-4781-9D59-316951F64050}" name="sem2.ects" dataDxfId="204">
      <calculatedColumnFormula array="1">IF(Tabela_do_wyboru_nst[[#This Row],[czy.ects]]="TAK",_xlfn.IFS(AND(Tabela_do_wyboru_nst[[#This Row],[sem2.godziny]]&gt;=$Q$195,Tabela_do_wyboru_nst[[#This Row],[sem2.forma]]="z"),8,AND(Tabela_do_wyboru_nst[[#This Row],[sem2.godziny]]&gt;=$I$195,Tabela_do_wyboru_nst[[#This Row],[sem2.forma]]="z"),4,AND(Tabela_do_wyboru_nst[[#This Row],[sem2.godziny]]&gt;=$H$195,Tabela_do_wyboru_nst[[#This Row],[sem2.forma]]="e"),2,AND(Tabela_do_wyboru_nst[[#This Row],[sem2.godziny]]&lt;$H$195,Tabela_do_wyboru_nst[[#This Row],[sem2.forma]]="e"),1,AND(Tabela_do_wyboru_nst[[#This Row],[sem2.godziny]]&gt;=$H$195,Tabela_do_wyboru_nst[[#This Row],[sem2.forma]]="z"),2,AND(Tabela_do_wyboru_nst[[#This Row],[sem2.godziny]]&lt;$H$195,Tabela_do_wyboru_nst[[#This Row],[sem2.forma]]="z"),1,TRUE,""),"")</calculatedColumnFormula>
    </tableColumn>
    <tableColumn id="14" xr3:uid="{E3727CA2-C078-479B-A1F6-1031829A09AA}" name="sem2.forma" dataDxfId="203">
      <calculatedColumnFormula>IF(Tabela_do_wyboru[[#This Row],[sem2.forma]]&lt;&gt;"",Tabela_do_wyboru[[#This Row],[sem2.forma]],"")</calculatedColumnFormula>
    </tableColumn>
    <tableColumn id="15" xr3:uid="{64C6476A-4F2D-48D5-A954-345C1523096A}" name="sem3.godziny" dataDxfId="202">
      <calculatedColumnFormula>IF(Tabela_do_wyboru[[#This Row],[sem3.godziny]]&lt;&gt;"",IF(Tabela_do_wyboru[[#This Row],[sem3.godziny]]&gt;14,Tabela_do_wyboru[[#This Row],[sem3.godziny]]*0.6,Tabela_do_wyboru[[#This Row],[sem3.godziny]]),"")</calculatedColumnFormula>
    </tableColumn>
    <tableColumn id="16" xr3:uid="{08E111FB-17A7-4B14-872E-336117E33B68}" name="sem3.ects" dataDxfId="201">
      <calculatedColumnFormula array="1">IF(Tabela_do_wyboru_nst[[#This Row],[czy.ects]]="TAK",_xlfn.IFS(AND(Tabela_do_wyboru_nst[[#This Row],[sem3.godziny]]&gt;=$Q$195,Tabela_do_wyboru_nst[[#This Row],[sem3.forma]]="z"),8,AND(Tabela_do_wyboru_nst[[#This Row],[sem3.godziny]]&gt;=$I$195,Tabela_do_wyboru_nst[[#This Row],[sem3.forma]]="z"),4,AND(Tabela_do_wyboru_nst[[#This Row],[sem3.godziny]]&gt;=$H$195,Tabela_do_wyboru_nst[[#This Row],[sem3.forma]]="e"),2,AND(Tabela_do_wyboru_nst[[#This Row],[sem3.godziny]]&lt;$H$195,Tabela_do_wyboru_nst[[#This Row],[sem3.forma]]="e"),1,AND(Tabela_do_wyboru_nst[[#This Row],[sem3.godziny]]&gt;=$H$195,Tabela_do_wyboru_nst[[#This Row],[sem3.forma]]="z"),2,AND(Tabela_do_wyboru_nst[[#This Row],[sem3.godziny]]&lt;$H$195,Tabela_do_wyboru_nst[[#This Row],[sem3.forma]]="z"),1,TRUE,""),"")</calculatedColumnFormula>
    </tableColumn>
    <tableColumn id="17" xr3:uid="{80EDC1BC-5819-4046-B7DA-1138B17C621B}" name="sem3.forma" dataDxfId="200">
      <calculatedColumnFormula>IF(Tabela_do_wyboru[[#This Row],[sem3.forma]]&lt;&gt;"",Tabela_do_wyboru[[#This Row],[sem3.forma]],"")</calculatedColumnFormula>
    </tableColumn>
    <tableColumn id="18" xr3:uid="{2C97F2BD-2F16-4DA8-BD97-809DBB5CDC13}" name="sem4.godziny" dataDxfId="199">
      <calculatedColumnFormula>IF(Tabela_do_wyboru[[#This Row],[sem4.godziny]]&lt;&gt;"",IF(Tabela_do_wyboru[[#This Row],[sem4.godziny]]&gt;14,Tabela_do_wyboru[[#This Row],[sem4.godziny]]*0.6,Tabela_do_wyboru[[#This Row],[sem4.godziny]]),"")</calculatedColumnFormula>
    </tableColumn>
    <tableColumn id="19" xr3:uid="{5E209A5B-E543-4775-B827-0F121C4DDCC0}" name="sem4.ects" dataDxfId="198">
      <calculatedColumnFormula array="1">IF(Tabela_do_wyboru_nst[[#This Row],[czy.ects]]="TAK",_xlfn.IFS(AND(Tabela_do_wyboru_nst[[#This Row],[sem4.godziny]]&gt;=$Q$195,Tabela_do_wyboru_nst[[#This Row],[sem4.forma]]="z"),8,AND(Tabela_do_wyboru_nst[[#This Row],[sem4.godziny]]&gt;=$I$195,Tabela_do_wyboru_nst[[#This Row],[sem4.forma]]="z"),4,AND(Tabela_do_wyboru_nst[[#This Row],[sem4.godziny]]&gt;=$H$195,Tabela_do_wyboru_nst[[#This Row],[sem4.forma]]="e"),2,AND(Tabela_do_wyboru_nst[[#This Row],[sem4.godziny]]&lt;$H$195,Tabela_do_wyboru_nst[[#This Row],[sem4.forma]]="e"),1,AND(Tabela_do_wyboru_nst[[#This Row],[sem4.godziny]]&gt;=$H$195,Tabela_do_wyboru_nst[[#This Row],[sem4.forma]]="z"),2,AND(Tabela_do_wyboru_nst[[#This Row],[sem4.godziny]]&lt;$H$195,Tabela_do_wyboru_nst[[#This Row],[sem4.forma]]="z"),1,TRUE,""),"")</calculatedColumnFormula>
    </tableColumn>
    <tableColumn id="20" xr3:uid="{3DC2C794-11FE-4DA2-8335-82610245F1EE}" name="sem4.forma" dataDxfId="197">
      <calculatedColumnFormula>IF(Tabela_do_wyboru[[#This Row],[sem4.forma]]&lt;&gt;"",Tabela_do_wyboru[[#This Row],[sem4.forma]],"")</calculatedColumnFormula>
    </tableColumn>
    <tableColumn id="21" xr3:uid="{4DB02753-EC0D-417E-86F2-546188403F9E}" name="sem5.godziny" dataDxfId="196">
      <calculatedColumnFormula>IF(Tabela_do_wyboru[[#This Row],[sem5.godziny]]&lt;&gt;"",IF(Tabela_do_wyboru[[#This Row],[sem5.godziny]]&gt;14,Tabela_do_wyboru[[#This Row],[sem5.godziny]]*0.6,Tabela_do_wyboru[[#This Row],[sem5.godziny]]),"")</calculatedColumnFormula>
    </tableColumn>
    <tableColumn id="22" xr3:uid="{96D409D3-55B2-4253-8303-9BF0C4210A4A}" name="sem5.ects" dataDxfId="195">
      <calculatedColumnFormula array="1">IF(Tabela_do_wyboru_nst[[#This Row],[czy.ects]]="TAK",_xlfn.IFS(AND(Tabela_do_wyboru_nst[[#This Row],[sem5.godziny]]&gt;=$Q$195,Tabela_do_wyboru_nst[[#This Row],[sem5.forma]]="z"),8,AND(Tabela_do_wyboru_nst[[#This Row],[sem5.godziny]]&gt;=$I$195,Tabela_do_wyboru_nst[[#This Row],[sem5.forma]]="z"),4,AND(Tabela_do_wyboru_nst[[#This Row],[sem5.godziny]]&gt;=$H$195,Tabela_do_wyboru_nst[[#This Row],[sem5.forma]]="e"),2,AND(Tabela_do_wyboru_nst[[#This Row],[sem5.godziny]]&lt;$H$195,Tabela_do_wyboru_nst[[#This Row],[sem5.forma]]="e"),1,AND(Tabela_do_wyboru_nst[[#This Row],[sem5.godziny]]&gt;=$H$195,Tabela_do_wyboru_nst[[#This Row],[sem5.forma]]="z"),2,AND(Tabela_do_wyboru_nst[[#This Row],[sem5.godziny]]&lt;$H$195,Tabela_do_wyboru_nst[[#This Row],[sem5.forma]]="z"),1,TRUE,""),"")</calculatedColumnFormula>
    </tableColumn>
    <tableColumn id="23" xr3:uid="{50D6CA1B-09D6-426E-B4F5-34805FC5865A}" name="sem5.forma" dataDxfId="194">
      <calculatedColumnFormula>IF(Tabela_do_wyboru[[#This Row],[sem5.forma]]&lt;&gt;"",Tabela_do_wyboru[[#This Row],[sem5.forma]],"")</calculatedColumnFormula>
    </tableColumn>
    <tableColumn id="24" xr3:uid="{10CA0C31-E795-4569-BB2D-8870699AD9A0}" name="sem6.godziny" dataDxfId="193">
      <calculatedColumnFormula>IF(Tabela_do_wyboru[[#This Row],[sem6.godziny]]&lt;&gt;"",IF(Tabela_do_wyboru[[#This Row],[sem6.godziny]]&gt;14,Tabela_do_wyboru[[#This Row],[sem6.godziny]]*0.6,Tabela_do_wyboru[[#This Row],[sem6.godziny]]),"")</calculatedColumnFormula>
    </tableColumn>
    <tableColumn id="25" xr3:uid="{6B9AA9A6-6D23-42B7-9273-CADE66A2BC2F}" name="sem6.ects" dataDxfId="192">
      <calculatedColumnFormula array="1">IF(Tabela_do_wyboru_nst[[#This Row],[czy.ects]]="TAK",_xlfn.IFS(AND(Tabela_do_wyboru_nst[[#This Row],[sem6.godziny]]&gt;=$Q$195,Tabela_do_wyboru_nst[[#This Row],[sem6.forma]]="z"),8,AND(Tabela_do_wyboru_nst[[#This Row],[sem6.godziny]]&gt;=$I$195,Tabela_do_wyboru_nst[[#This Row],[sem6.forma]]="z"),4,AND(Tabela_do_wyboru_nst[[#This Row],[sem6.godziny]]&gt;=$H$195,Tabela_do_wyboru_nst[[#This Row],[sem6.forma]]="e"),2,AND(Tabela_do_wyboru_nst[[#This Row],[sem6.godziny]]&lt;$H$195,Tabela_do_wyboru_nst[[#This Row],[sem6.forma]]="e"),1,AND(Tabela_do_wyboru_nst[[#This Row],[sem6.godziny]]&gt;=$H$195,Tabela_do_wyboru_nst[[#This Row],[sem6.forma]]="z"),2,AND(Tabela_do_wyboru_nst[[#This Row],[sem6.godziny]]&lt;$H$195,Tabela_do_wyboru_nst[[#This Row],[sem6.forma]]="z"),1,TRUE,""),"")</calculatedColumnFormula>
    </tableColumn>
    <tableColumn id="26" xr3:uid="{BEBD486C-95D8-49BB-96F6-1960953322D3}" name="sem6.forma" dataDxfId="191">
      <calculatedColumnFormula>IF(Tabela_do_wyboru[[#This Row],[sem6.forma]]&lt;&gt;"",Tabela_do_wyboru[[#This Row],[sem6.forma]],"")</calculatedColumnFormula>
    </tableColumn>
    <tableColumn id="27" xr3:uid="{34402E95-0C83-4558-A27E-068C1801EB3C}" name="sem7.godziny" dataDxfId="190">
      <calculatedColumnFormula>IF(Tabela_do_wyboru[[#This Row],[sem7.godziny]]&lt;&gt;"",IF(Tabela_do_wyboru[[#This Row],[sem7.godziny]]&gt;14,Tabela_do_wyboru[[#This Row],[sem7.godziny]]*0.6,Tabela_do_wyboru[[#This Row],[sem7.godziny]]),"")</calculatedColumnFormula>
    </tableColumn>
    <tableColumn id="28" xr3:uid="{5D8C5D14-891F-47DD-800B-AAA1FF3AA675}" name="sem7.ects" dataDxfId="189">
      <calculatedColumnFormula array="1">IF(Tabela_do_wyboru_nst[[#This Row],[czy.ects]]="TAK",_xlfn.IFS(AND(Tabela_do_wyboru_nst[[#This Row],[sem7.godziny]]&gt;=$Q$195,Tabela_do_wyboru_nst[[#This Row],[sem7.forma]]="z"),8,AND(Tabela_do_wyboru_nst[[#This Row],[sem7.godziny]]&gt;=$I$195,Tabela_do_wyboru_nst[[#This Row],[sem7.forma]]="z"),4,AND(Tabela_do_wyboru_nst[[#This Row],[sem7.godziny]]&gt;=$H$195,Tabela_do_wyboru_nst[[#This Row],[sem7.forma]]="e"),2,AND(Tabela_do_wyboru_nst[[#This Row],[sem7.godziny]]&lt;$H$195,Tabela_do_wyboru_nst[[#This Row],[sem7.forma]]="e"),1,AND(Tabela_do_wyboru_nst[[#This Row],[sem7.godziny]]&gt;=$H$195,Tabela_do_wyboru_nst[[#This Row],[sem7.forma]]="z"),2,AND(Tabela_do_wyboru_nst[[#This Row],[sem7.godziny]]&lt;$H$195,Tabela_do_wyboru_nst[[#This Row],[sem7.forma]]="z"),1,TRUE,""),"")</calculatedColumnFormula>
    </tableColumn>
    <tableColumn id="29" xr3:uid="{64F1566C-A6AE-4A4F-A240-BE4A8EC17E71}" name="sem7.forma" dataDxfId="188">
      <calculatedColumnFormula>IF(Tabela_do_wyboru[[#This Row],[sem7.forma]]&lt;&gt;"",Tabela_do_wyboru[[#This Row],[sem7.forma]],"")</calculatedColumnFormula>
    </tableColumn>
    <tableColumn id="39" xr3:uid="{7F2DD187-2D52-4816-A0B6-7F85A13D76AD}" name="sem8.godziny" dataDxfId="187">
      <calculatedColumnFormula>IF(Tabela_do_wyboru[[#This Row],[sem8.godziny]]&lt;&gt;"",IF(Tabela_do_wyboru[[#This Row],[sem8.godziny]]&gt;14,Tabela_do_wyboru[[#This Row],[sem8.godziny]]*0.6,Tabela_do_wyboru[[#This Row],[sem8.godziny]]),"")</calculatedColumnFormula>
    </tableColumn>
    <tableColumn id="40" xr3:uid="{261786B4-46AE-4ECA-A984-E7B9B10F663E}" name="sem8.ects" dataDxfId="186">
      <calculatedColumnFormula array="1">IF(Tabela_do_wyboru_nst[[#This Row],[czy.ects]]="TAK",_xlfn.IFS(AND(Tabela_do_wyboru_nst[[#This Row],[sem8.godziny]]&gt;=$Q$195,Tabela_do_wyboru_nst[[#This Row],[sem8.forma]]="z"),8,AND(Tabela_do_wyboru_nst[[#This Row],[sem8.godziny]]&gt;=$I$195,Tabela_do_wyboru_nst[[#This Row],[sem8.forma]]="z"),4,AND(Tabela_do_wyboru_nst[[#This Row],[sem8.godziny]]&gt;=$H$195,Tabela_do_wyboru_nst[[#This Row],[sem8.forma]]="e"),2,AND(Tabela_do_wyboru_nst[[#This Row],[sem8.godziny]]&lt;$H$195,Tabela_do_wyboru_nst[[#This Row],[sem8.forma]]="e"),1,AND(Tabela_do_wyboru_nst[[#This Row],[sem8.godziny]]&gt;=$H$195,Tabela_do_wyboru_nst[[#This Row],[sem8.forma]]="z"),2,AND(Tabela_do_wyboru_nst[[#This Row],[sem8.godziny]]&lt;$H$195,Tabela_do_wyboru_nst[[#This Row],[sem8.forma]]="z"),1,TRUE,""),"")</calculatedColumnFormula>
    </tableColumn>
    <tableColumn id="41" xr3:uid="{4184FA2B-8CA5-40EA-9154-663F58F1E4FB}" name="sem8.forma" dataDxfId="185">
      <calculatedColumnFormula>IF(Tabela_do_wyboru[[#This Row],[sem8.forma]]&lt;&gt;"",Tabela_do_wyboru[[#This Row],[sem8.forma]],"")</calculatedColumnFormula>
    </tableColumn>
    <tableColumn id="42" xr3:uid="{CC7C9838-9C9B-49C4-9C1F-C2BA70307769}" name="sem9.godziny" dataDxfId="184">
      <calculatedColumnFormula>IF(Tabela_do_wyboru[[#This Row],[sem9.godziny]]&lt;&gt;"",IF(Tabela_do_wyboru[[#This Row],[sem9.godziny]]&gt;14,Tabela_do_wyboru[[#This Row],[sem9.godziny]]*0.6,Tabela_do_wyboru[[#This Row],[sem9.godziny]]),"")</calculatedColumnFormula>
    </tableColumn>
    <tableColumn id="43" xr3:uid="{C402D4A7-8546-41C9-9355-9428F862F814}" name="sem9.ects" dataDxfId="183">
      <calculatedColumnFormula array="1">IF(Tabela_do_wyboru_nst[[#This Row],[czy.ects]]="TAK",_xlfn.IFS(AND(Tabela_do_wyboru_nst[[#This Row],[sem9.godziny]]&gt;=$Q$195,Tabela_do_wyboru_nst[[#This Row],[sem9.forma]]="z"),8,AND(Tabela_do_wyboru_nst[[#This Row],[sem9.godziny]]&gt;=$I$195,Tabela_do_wyboru_nst[[#This Row],[sem9.forma]]="z"),4,AND(Tabela_do_wyboru_nst[[#This Row],[sem9.godziny]]&gt;=$H$195,Tabela_do_wyboru_nst[[#This Row],[sem9.forma]]="e"),2,AND(Tabela_do_wyboru_nst[[#This Row],[sem9.godziny]]&lt;$H$195,Tabela_do_wyboru_nst[[#This Row],[sem9.forma]]="e"),1,AND(Tabela_do_wyboru_nst[[#This Row],[sem9.godziny]]&gt;=$H$195,Tabela_do_wyboru_nst[[#This Row],[sem9.forma]]="z"),2,AND(Tabela_do_wyboru_nst[[#This Row],[sem9.godziny]]&lt;$H$195,Tabela_do_wyboru_nst[[#This Row],[sem9.forma]]="z"),1,TRUE,""),"")</calculatedColumnFormula>
    </tableColumn>
    <tableColumn id="44" xr3:uid="{63F37B41-B682-4960-A4F4-B18AF7F7453B}" name="sem9.forma" dataDxfId="182">
      <calculatedColumnFormula>IF(Tabela_do_wyboru[[#This Row],[sem9.forma]]&lt;&gt;"",Tabela_do_wyboru[[#This Row],[sem9.forma]],"")</calculatedColumnFormula>
    </tableColumn>
    <tableColumn id="45" xr3:uid="{4B81D689-4233-456C-8152-68F2E6E9F8C0}" name="sem10.godziny" dataDxfId="181">
      <calculatedColumnFormula>IF(Tabela_do_wyboru[[#This Row],[sem10.godziny]]&lt;&gt;"",IF(Tabela_do_wyboru[[#This Row],[sem10.godziny]]&gt;14,Tabela_do_wyboru[[#This Row],[sem10.godziny]]*0.6,Tabela_do_wyboru[[#This Row],[sem10.godziny]]),"")</calculatedColumnFormula>
    </tableColumn>
    <tableColumn id="46" xr3:uid="{8281DEB6-C4BE-4CFC-91A8-CB0AACDF3972}" name="sem10.ects" dataDxfId="180">
      <calculatedColumnFormula array="1">IF(Tabela_do_wyboru_nst[[#This Row],[czy.ects]]="TAK",_xlfn.IFS(AND(Tabela_do_wyboru_nst[[#This Row],[sem10.godziny]]&gt;=$Q$195,Tabela_do_wyboru_nst[[#This Row],[sem10.forma]]="z"),8,AND(Tabela_do_wyboru_nst[[#This Row],[sem10.godziny]]&gt;=$I$195,Tabela_do_wyboru_nst[[#This Row],[sem10.forma]]="z"),4,AND(Tabela_do_wyboru_nst[[#This Row],[sem10.godziny]]&gt;=$H$195,Tabela_do_wyboru_nst[[#This Row],[sem10.forma]]="e"),2,AND(Tabela_do_wyboru_nst[[#This Row],[sem10.godziny]]&lt;$H$195,Tabela_do_wyboru_nst[[#This Row],[sem10.forma]]="e"),1,AND(Tabela_do_wyboru_nst[[#This Row],[sem10.godziny]]&gt;=$H$195,Tabela_do_wyboru_nst[[#This Row],[sem10.forma]]="z"),2,AND(Tabela_do_wyboru_nst[[#This Row],[sem10.godziny]]&lt;$H$195,Tabela_do_wyboru_nst[[#This Row],[sem10.forma]]="z"),1,TRUE,""),"")</calculatedColumnFormula>
    </tableColumn>
    <tableColumn id="47" xr3:uid="{3CF12B67-3F26-41E4-ADE7-AB5C2B02F8AB}" name="sem10.forma" dataDxfId="179">
      <calculatedColumnFormula>IF(Tabela_do_wyboru[[#This Row],[sem10.forma]]&lt;&gt;"",Tabela_do_wyboru[[#This Row],[sem10.forma]],"")</calculatedColumnFormula>
    </tableColumn>
    <tableColumn id="30" xr3:uid="{2DFB7612-CBC4-42B8-B072-D27F00FD9C85}" name="ects.razem" dataDxfId="178">
      <calculatedColumnFormula>SUM(Tabela_do_wyboru_nst[[#This Row],[sem1.ects]],Tabela_do_wyboru_nst[[#This Row],[sem2.ects]],Tabela_do_wyboru_nst[[#This Row],[sem3.ects]],Tabela_do_wyboru_nst[[#This Row],[sem4.ects]],Tabela_do_wyboru_nst[[#This Row],[sem5.ects]],Tabela_do_wyboru_nst[[#This Row],[sem6.ects]],Tabela_do_wyboru_nst[[#This Row],[sem7.ects]],Tabela_do_wyboru_nst[[#This Row],[sem8.ects]],Tabela_do_wyboru_nst[[#This Row],[sem9.ects]],Tabela_do_wyboru_nst[[#This Row],[sem10.ects]])</calculatedColumnFormula>
    </tableColumn>
    <tableColumn id="31" xr3:uid="{4662ED9E-7DD3-41CC-8D96-86ACC88DB918}" name="ects.umiej.prakt." dataDxfId="177">
      <calculatedColumnFormula>IF(ISERR(SEARCH("UP",Tabela_do_wyboru_nst[[#This Row],[Umiej.prakt.]],1)),0,Tabela_do_wyboru_nst[[#This Row],[ects.razem]])</calculatedColumnFormula>
    </tableColumn>
    <tableColumn id="32" xr3:uid="{5CBBF061-553F-42AC-8893-65DB8DD212B0}" name="ects.bezposr.nauczyciel" dataDxfId="176">
      <calculatedColumnFormula>IF(Tabela_do_wyboru_nst[[#This Row],[czy.ects]]="TAK",ROUND((SUM(Tabela_do_wyboru_nst[[#This Row],[godziny.konsultacja]],Tabela_do_wyboru_nst[[#This Row],[godziny.egzamin]],Tabela_do_wyboru_nst[[#This Row],[godziny.zajec.razem]])/25)/0.5,0)*0.5,0)</calculatedColumnFormula>
    </tableColumn>
    <tableColumn id="33" xr3:uid="{2A807B68-7558-4535-807E-CD441837892E}" name="godziny.razem.student" dataDxfId="175">
      <calculatedColumnFormula>SUM(Tabela_do_wyboru_nst[[#This Row],[godziny.samoksztalcenie]],Tabela_do_wyboru_nst[[#This Row],[godziny.konsultacja]],Tabela_do_wyboru_nst[[#This Row],[godziny.egzamin]],Tabela_do_wyboru_nst[[#This Row],[godziny.zajec.razem]])</calculatedColumnFormula>
    </tableColumn>
    <tableColumn id="34" xr3:uid="{65EC9D3D-DEE1-401C-BC70-349E127D1666}" name="godziny.samoksztalcenie" dataDxfId="174">
      <calculatedColumnFormula>Tabela_do_wyboru[[#This Row],[godziny.samoksztalcenie]]+(Tabela_do_wyboru[[#This Row],[godziny.zajec.razem]]-Tabela_do_wyboru_nst[[#This Row],[godziny.zajec.razem]])</calculatedColumnFormula>
    </tableColumn>
    <tableColumn id="35" xr3:uid="{88FED5CF-76B8-4EE9-BC2B-4E79DACFCA8F}" name="godziny.konsultacja" dataDxfId="173">
      <calculatedColumnFormula>Tabela_do_wyboru[[#This Row],[godziny.konsultacja]]</calculatedColumnFormula>
    </tableColumn>
    <tableColumn id="36" xr3:uid="{6D63625F-9308-4061-AED7-7DF8C2726BFE}" name="godziny.egzamin" dataDxfId="172">
      <calculatedColumnFormula>Tabela_do_wyboru[[#This Row],[godziny.egzamin]]</calculatedColumnFormula>
    </tableColumn>
    <tableColumn id="37" xr3:uid="{3BAE6C7E-5DF9-4B81-8084-7CF9BD96804D}" name="godziny.zajec.razem" dataDxfId="171">
      <calculatedColumnFormula>SUM(Tabela_do_wyboru_nst[[#This Row],[sem1.godziny]],Tabela_do_wyboru_nst[[#This Row],[sem2.godziny]],Tabela_do_wyboru_nst[[#This Row],[sem3.godziny]],Tabela_do_wyboru_nst[[#This Row],[sem4.godziny]],Tabela_do_wyboru_nst[[#This Row],[sem5.godziny]],Tabela_do_wyboru_nst[[#This Row],[sem6.godziny]],Tabela_do_wyboru_nst[[#This Row],[sem7.godziny]],Tabela_do_wyboru_nst[[#This Row],[sem8.godziny]],Tabela_do_wyboru_nst[[#This Row],[sem9.godziny]],Tabela_do_wyboru_nst[[#This Row],[sem10.godziny]])</calculatedColumnFormula>
    </tableColumn>
    <tableColumn id="38" xr3:uid="{4FE262F3-06F7-48C8-8D2A-29745C2255D4}" name="ects.bezpos.kontakt.procent" dataDxfId="170">
      <calculatedColumnFormula>IF(Tabela_do_wyboru_nst[[#This Row],[ects.bezposr.nauczyciel]],Tabela_do_wyboru_nst[[#This Row],[ects.bezposr.nauczyciel]]/Tabela_do_wyboru_nst[[#This Row],[ects.razem]],0)</calculatedColumnFormula>
    </tableColumn>
  </tableColumns>
  <tableStyleInfo showFirstColumn="0" showLastColumn="0" showRowStripes="0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5E355F6-8B38-4949-9562-EABD2E78C3FE}" name="Tabela_SP3_nst" displayName="Tabela_SP3_nst" ref="B121:AV134" totalsRowShown="0" headerRowDxfId="169" dataDxfId="167" headerRowBorderDxfId="168" tableBorderDxfId="166" totalsRowBorderDxfId="165">
  <autoFilter ref="B121:AV134" xr:uid="{E5E355F6-8B38-4949-9562-EABD2E78C3FE}"/>
  <tableColumns count="47">
    <tableColumn id="1" xr3:uid="{AC316795-5761-4742-BACC-3042733BD440}" name="kod.isced" dataDxfId="164">
      <calculatedColumnFormula>IF(Tabela_SP3[[#This Row],[kod.isced]]&lt;&gt;"",Tabela_SP3[[#This Row],[kod.isced]],"")</calculatedColumnFormula>
    </tableColumn>
    <tableColumn id="2" xr3:uid="{187DB27C-B633-4D0D-8B19-291110A207C6}" name="kod.dziedziny" dataDxfId="163">
      <calculatedColumnFormula>IF(Tabela_SP3[[#This Row],[kod.dziedziny]]&lt;&gt;"",Tabela_SP3[[#This Row],[kod.dziedziny]],"")</calculatedColumnFormula>
    </tableColumn>
    <tableColumn id="3" xr3:uid="{9CB47D36-4693-4551-830F-655156313F34}" name="Modul" dataDxfId="162">
      <calculatedColumnFormula>IF(Tabela_SP3[[#This Row],[Modul]]&lt;&gt;"",Tabela_SP3[[#This Row],[Modul]],"")</calculatedColumnFormula>
    </tableColumn>
    <tableColumn id="4" xr3:uid="{42297E0A-2770-4B78-B2CC-544690F7CD00}" name="Umiej.prakt." dataDxfId="161">
      <calculatedColumnFormula>IF(Tabela_SP3[[#This Row],[Umiej.prakt.]]&lt;&gt;"",Tabela_SP3[[#This Row],[Umiej.prakt.]],"")</calculatedColumnFormula>
    </tableColumn>
    <tableColumn id="5" xr3:uid="{5A668F50-EAB1-46F4-B33E-327C216340B8}" name="Nazwa przedmiotu" dataDxfId="160">
      <calculatedColumnFormula>IF(Tabela_SP3[[#This Row],[Nazwa przedmiotu]]&lt;&gt;"",Tabela_SP3[[#This Row],[Nazwa przedmiotu]],"")</calculatedColumnFormula>
    </tableColumn>
    <tableColumn id="6" xr3:uid="{7ECCCC76-8C3C-402F-AB11-BD33A8C799AB}" name="Prowadzacy" dataDxfId="159">
      <calculatedColumnFormula>IF(Tabela_SP3[[#This Row],[Prowadzacy]]&lt;&gt;"",Tabela_SP3[[#This Row],[Prowadzacy]],"")</calculatedColumnFormula>
    </tableColumn>
    <tableColumn id="7" xr3:uid="{2F4417B9-73BA-449F-985B-FDD3B6C54AA1}" name="Forma" dataDxfId="158">
      <calculatedColumnFormula>IF(Tabela_SP3[[#This Row],[Forma]]&lt;&gt;"",Tabela_SP3[[#This Row],[Forma]],"")</calculatedColumnFormula>
    </tableColumn>
    <tableColumn id="8" xr3:uid="{7A0553C4-16AA-47EE-8FEF-599E65042BB6}" name="czy.ects" dataDxfId="157">
      <calculatedColumnFormula>IF(Tabela_SP3[[#This Row],[czy.ects]]&lt;&gt;"",Tabela_SP3[[#This Row],[czy.ects]],"")</calculatedColumnFormula>
    </tableColumn>
    <tableColumn id="9" xr3:uid="{7390388F-CF38-488C-9223-6E1C21DF2487}" name="sem1.godziny" dataDxfId="156">
      <calculatedColumnFormula array="1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calculatedColumnFormula>
    </tableColumn>
    <tableColumn id="10" xr3:uid="{A7CBE16D-58B5-4FB2-AD88-29EAB6DB4873}" name="sem1.ects" dataDxfId="155">
      <calculatedColumnFormula array="1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calculatedColumnFormula>
    </tableColumn>
    <tableColumn id="11" xr3:uid="{AC3E4E1B-5FBD-425F-8B75-5E002CA981C6}" name="sem1.forma" dataDxfId="154">
      <calculatedColumnFormula>IF(Tabela_SP3[[#This Row],[sem1.forma]]&lt;&gt;"",Tabela_SP3[[#This Row],[sem1.forma]],"")</calculatedColumnFormula>
    </tableColumn>
    <tableColumn id="12" xr3:uid="{2D81F528-0414-41B8-993C-4200180AF54B}" name="sem2.godziny" dataDxfId="153">
      <calculatedColumnFormula array="1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calculatedColumnFormula>
    </tableColumn>
    <tableColumn id="13" xr3:uid="{67619EAA-9445-4428-BC0E-9B48F8F99509}" name="sem2.ects" dataDxfId="152">
      <calculatedColumnFormula array="1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calculatedColumnFormula>
    </tableColumn>
    <tableColumn id="14" xr3:uid="{D26AA5A9-D3D8-4441-AF32-48C20B436836}" name="sem2.forma" dataDxfId="151">
      <calculatedColumnFormula>IF(Tabela_SP3[[#This Row],[sem2.forma]]&lt;&gt;"",Tabela_SP3[[#This Row],[sem2.forma]],"")</calculatedColumnFormula>
    </tableColumn>
    <tableColumn id="15" xr3:uid="{A5795A72-6561-4AED-915B-49716BE12A7B}" name="sem3.godziny" dataDxfId="150">
      <calculatedColumnFormula array="1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calculatedColumnFormula>
    </tableColumn>
    <tableColumn id="16" xr3:uid="{25458D64-855E-4843-A62F-E905A4AB535E}" name="sem3.ects" dataDxfId="149">
      <calculatedColumnFormula array="1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calculatedColumnFormula>
    </tableColumn>
    <tableColumn id="17" xr3:uid="{A1EF67D4-9F4B-441A-9E3E-060D7E6C3D19}" name="sem3.forma" dataDxfId="148">
      <calculatedColumnFormula>IF(Tabela_SP3[[#This Row],[sem3.forma]]&lt;&gt;"",Tabela_SP3[[#This Row],[sem3.forma]],"")</calculatedColumnFormula>
    </tableColumn>
    <tableColumn id="18" xr3:uid="{2FEA9BF2-D1F5-47D3-9B89-A3ACFF9EA3E1}" name="sem4.godziny" dataDxfId="147">
      <calculatedColumnFormula array="1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calculatedColumnFormula>
    </tableColumn>
    <tableColumn id="19" xr3:uid="{CD7D6267-C005-4D6C-A5A4-367E60B21D5A}" name="sem4.ects" dataDxfId="146">
      <calculatedColumnFormula array="1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calculatedColumnFormula>
    </tableColumn>
    <tableColumn id="20" xr3:uid="{0C3A5D32-A39B-40CF-B523-13F8EBDEB179}" name="sem4.forma" dataDxfId="145">
      <calculatedColumnFormula>IF(Tabela_SP3[[#This Row],[sem4.forma]]&lt;&gt;"",Tabela_SP3[[#This Row],[sem4.forma]],"")</calculatedColumnFormula>
    </tableColumn>
    <tableColumn id="21" xr3:uid="{AEC6C9A4-D49C-482D-ADC3-11BB068B5238}" name="sem5.godziny" dataDxfId="144">
      <calculatedColumnFormula array="1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calculatedColumnFormula>
    </tableColumn>
    <tableColumn id="22" xr3:uid="{0548250E-4235-4766-B56B-9CF2DBBF58F2}" name="sem5.ects" dataDxfId="143">
      <calculatedColumnFormula array="1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calculatedColumnFormula>
    </tableColumn>
    <tableColumn id="23" xr3:uid="{48B2C1C2-D2C9-4699-B8B8-BB87046E5456}" name="sem5.forma" dataDxfId="142">
      <calculatedColumnFormula>IF(Tabela_SP3[[#This Row],[sem5.forma]]&lt;&gt;"",Tabela_SP3[[#This Row],[sem5.forma]],"")</calculatedColumnFormula>
    </tableColumn>
    <tableColumn id="24" xr3:uid="{BC8AA800-97C4-49DE-B558-053A0096F97C}" name="sem6.godziny" dataDxfId="141">
      <calculatedColumnFormula array="1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calculatedColumnFormula>
    </tableColumn>
    <tableColumn id="25" xr3:uid="{5487D7FA-C48E-43D0-9933-811262F6E473}" name="sem6.ects" dataDxfId="140">
      <calculatedColumnFormula array="1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calculatedColumnFormula>
    </tableColumn>
    <tableColumn id="26" xr3:uid="{354CAF83-7AB9-4C65-9F68-504DBCE0F015}" name="sem6.forma" dataDxfId="139">
      <calculatedColumnFormula>IF(Tabela_SP3[[#This Row],[sem6.forma]]&lt;&gt;"",Tabela_SP3[[#This Row],[sem6.forma]],"")</calculatedColumnFormula>
    </tableColumn>
    <tableColumn id="27" xr3:uid="{7375CD27-5336-4F6D-9100-3901C8EA9D07}" name="sem7.godziny" dataDxfId="138">
      <calculatedColumnFormula array="1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calculatedColumnFormula>
    </tableColumn>
    <tableColumn id="28" xr3:uid="{DCE0062A-B7B8-4699-A68C-92A18B0627D7}" name="sem7.ects" dataDxfId="137">
      <calculatedColumnFormula array="1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calculatedColumnFormula>
    </tableColumn>
    <tableColumn id="29" xr3:uid="{F24D21F4-B69E-4E3C-A1B7-253EA06FCC7D}" name="sem7.forma" dataDxfId="136">
      <calculatedColumnFormula>IF(Tabela_SP3[[#This Row],[sem7.forma]]&lt;&gt;"",Tabela_SP3[[#This Row],[sem7.forma]],"")</calculatedColumnFormula>
    </tableColumn>
    <tableColumn id="39" xr3:uid="{595B96B8-45FD-44E7-A649-A6DFA08E9468}" name="sem8.godziny" dataDxfId="135">
      <calculatedColumnFormula array="1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calculatedColumnFormula>
    </tableColumn>
    <tableColumn id="40" xr3:uid="{960B6A2F-DA7F-4DEB-AFC5-218498BBC05B}" name="sem8.ects" dataDxfId="134">
      <calculatedColumnFormula array="1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calculatedColumnFormula>
    </tableColumn>
    <tableColumn id="41" xr3:uid="{F98860B4-8CB4-462F-BA8C-F9AABD59172E}" name="sem8.forma" dataDxfId="133">
      <calculatedColumnFormula>IF(Tabela_SP3[[#This Row],[sem8.forma]]&lt;&gt;"",Tabela_SP3[[#This Row],[sem8.forma]],"")</calculatedColumnFormula>
    </tableColumn>
    <tableColumn id="42" xr3:uid="{FE028BE6-0B99-44F1-A431-A4E931DC059A}" name="sem9.godziny" dataDxfId="132">
      <calculatedColumnFormula array="1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calculatedColumnFormula>
    </tableColumn>
    <tableColumn id="43" xr3:uid="{49E15EEB-0C6F-4069-9B58-0C281A045C92}" name="sem9.ects" dataDxfId="131">
      <calculatedColumnFormula array="1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calculatedColumnFormula>
    </tableColumn>
    <tableColumn id="44" xr3:uid="{9D2645D9-0F57-4979-AF41-8CABEFD9DB20}" name="sem9.forma" dataDxfId="130">
      <calculatedColumnFormula>IF(Tabela_SP3[[#This Row],[sem9.forma]]&lt;&gt;"",Tabela_SP3[[#This Row],[sem9.forma]],"")</calculatedColumnFormula>
    </tableColumn>
    <tableColumn id="45" xr3:uid="{3279425B-D08A-4EA3-AB32-7BA9FE732683}" name="sem10.godziny" dataDxfId="129">
      <calculatedColumnFormula array="1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calculatedColumnFormula>
    </tableColumn>
    <tableColumn id="46" xr3:uid="{4263769D-43F8-4408-9FAF-7E9377AEE552}" name="sem10.ects" dataDxfId="128">
      <calculatedColumnFormula array="1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calculatedColumnFormula>
    </tableColumn>
    <tableColumn id="47" xr3:uid="{40FB3B6E-05A9-4F32-A96E-EE3DEF3337C2}" name="sem10.forma" dataDxfId="127">
      <calculatedColumnFormula>IF(Tabela_SP3[[#This Row],[sem10.forma]]&lt;&gt;"",Tabela_SP3[[#This Row],[sem10.forma]],"")</calculatedColumnFormula>
    </tableColumn>
    <tableColumn id="30" xr3:uid="{99260CFD-5C0F-45BB-B2EB-0A1AC09CEC21}" name="ects.razem" dataDxfId="126">
      <calculatedColumnFormula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calculatedColumnFormula>
    </tableColumn>
    <tableColumn id="31" xr3:uid="{63274711-C79B-4256-9200-D46ECA2DEC54}" name="ects.umiej.prakt." dataDxfId="125">
      <calculatedColumnFormula>IF(ISERR(SEARCH("UP",Tabela_SP3_nst[[#This Row],[Umiej.prakt.]],1)),0,Tabela_SP3_nst[[#This Row],[ects.razem]])</calculatedColumnFormula>
    </tableColumn>
    <tableColumn id="32" xr3:uid="{9C361DF2-BC73-4521-87BA-9F39F4B79BDD}" name="ects.bezposr.nauczyciel" dataDxfId="124">
      <calculatedColumnFormula>IF(Tabela_SP3_nst[[#This Row],[czy.ects]]="TAK",ROUND((SUM(Tabela_SP3_nst[[#This Row],[godziny.konsultacja]],Tabela_SP3_nst[[#This Row],[godziny.egzamin]],Tabela_SP3_nst[[#This Row],[godziny.zajec.razem]])/25)/0.5,0)*0.5,0)</calculatedColumnFormula>
    </tableColumn>
    <tableColumn id="33" xr3:uid="{EB3E194C-7B7F-480E-9386-05DEFE8DF1AC}" name="godziny.razem.student" dataDxfId="123">
      <calculatedColumnFormula>SUM(Tabela_SP3_nst[[#This Row],[godziny.samoksztalcenie]],Tabela_SP3_nst[[#This Row],[godziny.konsultacja]],Tabela_SP3_nst[[#This Row],[godziny.egzamin]],Tabela_SP3_nst[[#This Row],[godziny.zajec.razem]])</calculatedColumnFormula>
    </tableColumn>
    <tableColumn id="34" xr3:uid="{AEE44A01-F6ED-4420-8D05-4DBE0675DB09}" name="godziny.samoksztalcenie" dataDxfId="122">
      <calculatedColumnFormula>Tabela_SP3[[#This Row],[godziny.samoksztalcenie]]+(Tabela_SP3[[#This Row],[godziny.zajec.razem]]-Tabela_SP3_nst[[#This Row],[godziny.zajec.razem]])</calculatedColumnFormula>
    </tableColumn>
    <tableColumn id="35" xr3:uid="{BB72ABFE-2B45-4CCD-A417-5D70A0E430AF}" name="godziny.konsultacja" dataDxfId="121">
      <calculatedColumnFormula>Tabela_SP3[[#This Row],[godziny.konsultacja]]</calculatedColumnFormula>
    </tableColumn>
    <tableColumn id="36" xr3:uid="{FCD4CB17-043F-4BD2-8806-6DAE67E5CAD6}" name="godziny.egzamin" dataDxfId="120">
      <calculatedColumnFormula>Tabela_SP3[[#This Row],[godziny.egzamin]]</calculatedColumnFormula>
    </tableColumn>
    <tableColumn id="37" xr3:uid="{43B2994C-EF4D-4837-BB83-9EF006016CC5}" name="godziny.zajec.razem" dataDxfId="119">
      <calculatedColumnFormula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calculatedColumnFormula>
    </tableColumn>
    <tableColumn id="38" xr3:uid="{989C079E-A4B4-40FA-8FED-2D6853143075}" name="ects.bezpos.kontakt.procent" dataDxfId="118">
      <calculatedColumnFormula>IF(Tabela_SP3_nst[[#This Row],[ects.bezposr.nauczyciel]],Tabela_SP3_nst[[#This Row],[ects.bezposr.nauczyciel]]/Tabela_SP3_nst[[#This Row],[ects.razem]],0)</calculatedColumnFormula>
    </tableColumn>
  </tableColumns>
  <tableStyleInfo showFirstColumn="0" showLastColumn="0" showRowStripes="0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9B585A65-4723-450C-B0E5-F9B98623A7DD}" name="Tabela_SP4_nst" displayName="Tabela_SP4_nst" ref="B137:AV154" totalsRowShown="0" headerRowDxfId="117" dataDxfId="115" headerRowBorderDxfId="116" tableBorderDxfId="114" totalsRowBorderDxfId="113">
  <autoFilter ref="B137:AV154" xr:uid="{9B585A65-4723-450C-B0E5-F9B98623A7DD}"/>
  <tableColumns count="47">
    <tableColumn id="1" xr3:uid="{C356C415-00F8-4C56-A63F-F1C22B07198E}" name="kod.isced" dataDxfId="112">
      <calculatedColumnFormula>IF(Tabela_SP4[[#This Row],[kod.isced]]&lt;&gt;"",Tabela_SP4[[#This Row],[kod.isced]],"")</calculatedColumnFormula>
    </tableColumn>
    <tableColumn id="2" xr3:uid="{687A130A-CC6E-4F54-BB2C-0615230881D6}" name="kod.dziedziny" dataDxfId="111">
      <calculatedColumnFormula>IF(Tabela_SP4[[#This Row],[kod.dziedziny]]&lt;&gt;"",Tabela_SP4[[#This Row],[kod.dziedziny]],"")</calculatedColumnFormula>
    </tableColumn>
    <tableColumn id="3" xr3:uid="{68F39EF9-88A6-4BE0-AC4E-2C242DE7F024}" name="Modul" dataDxfId="110">
      <calculatedColumnFormula>IF(Tabela_SP4[[#This Row],[Modul]]&lt;&gt;"",Tabela_SP4[[#This Row],[Modul]],"")</calculatedColumnFormula>
    </tableColumn>
    <tableColumn id="4" xr3:uid="{7959A87B-4C93-4F36-8AB8-18AB492E5B00}" name="Umiej.prakt." dataDxfId="109">
      <calculatedColumnFormula>IF(Tabela_SP4[[#This Row],[Umiej.prakt.]]&lt;&gt;"",Tabela_SP4[[#This Row],[Umiej.prakt.]],"")</calculatedColumnFormula>
    </tableColumn>
    <tableColumn id="5" xr3:uid="{5BBB2C7A-E399-4725-9936-595A4B737E57}" name="Nazwa przedmiotu" dataDxfId="108">
      <calculatedColumnFormula>IF(Tabela_SP4[[#This Row],[Nazwa przedmiotu]]&lt;&gt;"",Tabela_SP4[[#This Row],[Nazwa przedmiotu]],"")</calculatedColumnFormula>
    </tableColumn>
    <tableColumn id="6" xr3:uid="{5739C177-65EA-4B10-B1F6-37E8B830EBF3}" name="Prowadzacy" dataDxfId="107">
      <calculatedColumnFormula>IF(Tabela_SP4[[#This Row],[Prowadzacy]]&lt;&gt;"",Tabela_SP4[[#This Row],[Prowadzacy]],"")</calculatedColumnFormula>
    </tableColumn>
    <tableColumn id="7" xr3:uid="{A5CA7275-6A66-4381-9BF7-F54CE139CE08}" name="Forma" dataDxfId="106">
      <calculatedColumnFormula>IF(Tabela_SP4[[#This Row],[Forma]]&lt;&gt;"",Tabela_SP4[[#This Row],[Forma]],"")</calculatedColumnFormula>
    </tableColumn>
    <tableColumn id="8" xr3:uid="{FCF42B08-193F-47FB-BD64-EFD5BAB3A13E}" name="czy.ects" dataDxfId="105">
      <calculatedColumnFormula>IF(Tabela_SP4[[#This Row],[czy.ects]]&lt;&gt;"",Tabela_SP4[[#This Row],[czy.ects]],"")</calculatedColumnFormula>
    </tableColumn>
    <tableColumn id="9" xr3:uid="{9C664653-F56D-4E9B-AB0B-5983966A9245}" name="sem1.godziny" dataDxfId="104">
      <calculatedColumnFormula array="1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calculatedColumnFormula>
    </tableColumn>
    <tableColumn id="10" xr3:uid="{9FFFCDAA-6EE3-4CB7-822B-5904BA658355}" name="sem1.ects" dataDxfId="103">
      <calculatedColumnFormula array="1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calculatedColumnFormula>
    </tableColumn>
    <tableColumn id="11" xr3:uid="{240C55F4-18A4-4BD5-ABA3-737F8EA07268}" name="sem1.forma" dataDxfId="102">
      <calculatedColumnFormula>IF(Tabela_SP4[[#This Row],[sem1.forma]]&lt;&gt;"",Tabela_SP4[[#This Row],[sem1.forma]],"")</calculatedColumnFormula>
    </tableColumn>
    <tableColumn id="12" xr3:uid="{F5B88E62-B4B5-44C3-BBBA-DBD46993F37E}" name="sem2.godziny" dataDxfId="101">
      <calculatedColumnFormula array="1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calculatedColumnFormula>
    </tableColumn>
    <tableColumn id="13" xr3:uid="{D5BA97B2-1BE1-4FCE-B7D0-48B642384B8F}" name="sem2.ects" dataDxfId="100">
      <calculatedColumnFormula array="1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calculatedColumnFormula>
    </tableColumn>
    <tableColumn id="14" xr3:uid="{A70DC43D-D620-497A-8F8D-5E68D4792B70}" name="sem2.forma" dataDxfId="99">
      <calculatedColumnFormula>IF(Tabela_SP4[[#This Row],[sem2.forma]]&lt;&gt;"",Tabela_SP4[[#This Row],[sem2.forma]],"")</calculatedColumnFormula>
    </tableColumn>
    <tableColumn id="15" xr3:uid="{0E4A464D-FC2D-4363-9D0A-5B10A42E8D19}" name="sem3.godziny" dataDxfId="98">
      <calculatedColumnFormula array="1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calculatedColumnFormula>
    </tableColumn>
    <tableColumn id="16" xr3:uid="{904976D8-D66E-4442-96D6-3244F78F730A}" name="sem3.ects" dataDxfId="97">
      <calculatedColumnFormula array="1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calculatedColumnFormula>
    </tableColumn>
    <tableColumn id="17" xr3:uid="{58673050-136E-4C9D-ACFB-F83E1EFCA80F}" name="sem3.forma" dataDxfId="96">
      <calculatedColumnFormula>IF(Tabela_SP4[[#This Row],[sem3.forma]]&lt;&gt;"",Tabela_SP4[[#This Row],[sem3.forma]],"")</calculatedColumnFormula>
    </tableColumn>
    <tableColumn id="18" xr3:uid="{99AA662E-967B-4FAE-A94F-B34C84348142}" name="sem4.godziny" dataDxfId="95">
      <calculatedColumnFormula array="1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calculatedColumnFormula>
    </tableColumn>
    <tableColumn id="19" xr3:uid="{E497BBE3-86DD-4B2B-89DB-82E650B4BD70}" name="sem4.ects" dataDxfId="94">
      <calculatedColumnFormula array="1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calculatedColumnFormula>
    </tableColumn>
    <tableColumn id="20" xr3:uid="{52D1210E-51A1-44AF-94BD-305C80554A02}" name="sem4.forma" dataDxfId="93">
      <calculatedColumnFormula>IF(Tabela_SP4[[#This Row],[sem4.forma]]&lt;&gt;"",Tabela_SP4[[#This Row],[sem4.forma]],"")</calculatedColumnFormula>
    </tableColumn>
    <tableColumn id="21" xr3:uid="{AC8B084C-8DA0-4B4C-8A44-699660E16823}" name="sem5.godziny" dataDxfId="92">
      <calculatedColumnFormula array="1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calculatedColumnFormula>
    </tableColumn>
    <tableColumn id="22" xr3:uid="{A78ACED4-9BEB-4823-A7AA-ADFBD4A3A62B}" name="sem5.ects" dataDxfId="91">
      <calculatedColumnFormula array="1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calculatedColumnFormula>
    </tableColumn>
    <tableColumn id="23" xr3:uid="{0B6BE6CA-0FBA-4031-B723-9301C7A5A4D5}" name="sem5.forma" dataDxfId="90">
      <calculatedColumnFormula>IF(Tabela_SP4[[#This Row],[sem5.forma]]&lt;&gt;"",Tabela_SP4[[#This Row],[sem5.forma]],"")</calculatedColumnFormula>
    </tableColumn>
    <tableColumn id="24" xr3:uid="{9F2B21CB-F3F7-40B3-84FF-BFFB8305C771}" name="sem6.godziny" dataDxfId="89">
      <calculatedColumnFormula array="1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calculatedColumnFormula>
    </tableColumn>
    <tableColumn id="25" xr3:uid="{5E841BD2-CCC0-43F9-B1D6-0C1BB791B778}" name="sem6.ects" dataDxfId="88">
      <calculatedColumnFormula array="1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calculatedColumnFormula>
    </tableColumn>
    <tableColumn id="26" xr3:uid="{4C7E04B0-E3DA-4A77-A144-E28162E1E4CB}" name="sem6.forma" dataDxfId="87">
      <calculatedColumnFormula>IF(Tabela_SP4[[#This Row],[sem6.forma]]&lt;&gt;"",Tabela_SP4[[#This Row],[sem6.forma]],"")</calculatedColumnFormula>
    </tableColumn>
    <tableColumn id="27" xr3:uid="{82EC4365-A51B-4B57-8877-E00227308818}" name="sem7.godziny" dataDxfId="86">
      <calculatedColumnFormula array="1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calculatedColumnFormula>
    </tableColumn>
    <tableColumn id="28" xr3:uid="{902A93FC-91D6-4221-9BB6-F8A8CCB66695}" name="sem7.ects" dataDxfId="85">
      <calculatedColumnFormula array="1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calculatedColumnFormula>
    </tableColumn>
    <tableColumn id="29" xr3:uid="{75A68D67-C4BC-4C9B-92A4-DCB790955CE0}" name="sem7.forma" dataDxfId="84">
      <calculatedColumnFormula>IF(Tabela_SP4[[#This Row],[sem7.forma]]&lt;&gt;"",Tabela_SP4[[#This Row],[sem7.forma]],"")</calculatedColumnFormula>
    </tableColumn>
    <tableColumn id="39" xr3:uid="{99F32417-335B-43ED-9294-D6D4E6B35836}" name="sem8.godziny" dataDxfId="83">
      <calculatedColumnFormula array="1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calculatedColumnFormula>
    </tableColumn>
    <tableColumn id="40" xr3:uid="{D5293637-B6B5-4ED4-89D9-36D257A83E2D}" name="sem8.ects" dataDxfId="82">
      <calculatedColumnFormula array="1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calculatedColumnFormula>
    </tableColumn>
    <tableColumn id="41" xr3:uid="{0EE8636C-0478-4612-8579-016310F64C7A}" name="sem8.forma" dataDxfId="81">
      <calculatedColumnFormula>IF(Tabela_SP4[[#This Row],[sem8.forma]]&lt;&gt;"",Tabela_SP4[[#This Row],[sem8.forma]],"")</calculatedColumnFormula>
    </tableColumn>
    <tableColumn id="42" xr3:uid="{A999F0F5-94F2-429E-980F-0F09B430230E}" name="sem9.godziny" dataDxfId="80">
      <calculatedColumnFormula array="1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calculatedColumnFormula>
    </tableColumn>
    <tableColumn id="43" xr3:uid="{A59104FC-E4CF-4ADA-86E1-A37F8E1D0A7B}" name="sem9.ects" dataDxfId="79">
      <calculatedColumnFormula array="1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calculatedColumnFormula>
    </tableColumn>
    <tableColumn id="44" xr3:uid="{7DF3C874-93DD-4E6C-B7C0-C25F8B5203E1}" name="sem9.forma" dataDxfId="78">
      <calculatedColumnFormula>IF(Tabela_SP4[[#This Row],[sem9.forma]]&lt;&gt;"",Tabela_SP4[[#This Row],[sem9.forma]],"")</calculatedColumnFormula>
    </tableColumn>
    <tableColumn id="45" xr3:uid="{807B7178-7B54-4AE6-AB24-AD40B8D7172D}" name="sem10.godziny" dataDxfId="77">
      <calculatedColumnFormula array="1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calculatedColumnFormula>
    </tableColumn>
    <tableColumn id="46" xr3:uid="{671674C1-438A-4196-B080-2C7D6E780CA8}" name="sem10.ects" dataDxfId="76">
      <calculatedColumnFormula array="1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calculatedColumnFormula>
    </tableColumn>
    <tableColumn id="47" xr3:uid="{D3C7060A-9767-41C4-8C6B-52F2D09A6ADE}" name="sem10.forma" dataDxfId="75">
      <calculatedColumnFormula>IF(Tabela_SP4[[#This Row],[sem10.forma]]&lt;&gt;"",Tabela_SP4[[#This Row],[sem10.forma]],"")</calculatedColumnFormula>
    </tableColumn>
    <tableColumn id="30" xr3:uid="{F6E5D6AC-1D4F-411F-9C8E-3E7C78C7FB43}" name="ects.razem" dataDxfId="74">
      <calculatedColumnFormula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calculatedColumnFormula>
    </tableColumn>
    <tableColumn id="31" xr3:uid="{7CB43B2F-E38B-4274-8A37-1334F20956FC}" name="ects.umiej.prakt." dataDxfId="73">
      <calculatedColumnFormula>IF(ISERR(SEARCH("UP",Tabela_SP4_nst[[#This Row],[Umiej.prakt.]],1)),0,Tabela_SP4_nst[[#This Row],[ects.razem]])</calculatedColumnFormula>
    </tableColumn>
    <tableColumn id="32" xr3:uid="{F60BC519-8B31-4313-986E-024331DE6A06}" name="ects.bezposr.nauczyciel" dataDxfId="72">
      <calculatedColumnFormula>IF(Tabela_SP4_nst[[#This Row],[czy.ects]]="TAK",ROUND((SUM(Tabela_SP4_nst[[#This Row],[godziny.konsultacja]],Tabela_SP4_nst[[#This Row],[godziny.egzamin]],Tabela_SP4_nst[[#This Row],[godziny.zajec.razem]])/25)/0.5,0)*0.5,0)</calculatedColumnFormula>
    </tableColumn>
    <tableColumn id="33" xr3:uid="{C1A9E6F8-679E-49AA-80B2-C259F6D0C500}" name="godziny.razem.student" dataDxfId="71">
      <calculatedColumnFormula>SUM(Tabela_SP4_nst[[#This Row],[godziny.samoksztalcenie]],Tabela_SP4_nst[[#This Row],[godziny.konsultacja]],Tabela_SP4_nst[[#This Row],[godziny.egzamin]],Tabela_SP4_nst[[#This Row],[godziny.zajec.razem]])</calculatedColumnFormula>
    </tableColumn>
    <tableColumn id="34" xr3:uid="{1121F2C7-C44C-4CFD-B05E-FDB6ED361333}" name="godziny.samoksztalcenie" dataDxfId="70">
      <calculatedColumnFormula>Tabela_SP4[[#This Row],[godziny.samoksztalcenie]]+(Tabela_SP4[[#This Row],[godziny.zajec.razem]]-Tabela_SP4_nst[[#This Row],[godziny.zajec.razem]])</calculatedColumnFormula>
    </tableColumn>
    <tableColumn id="35" xr3:uid="{E9A34DD2-3181-4469-BF6E-1B4371DCAB0F}" name="godziny.konsultacja" dataDxfId="69">
      <calculatedColumnFormula>Tabela_SP4[[#This Row],[godziny.konsultacja]]</calculatedColumnFormula>
    </tableColumn>
    <tableColumn id="36" xr3:uid="{96B9372B-0FC6-482B-8E81-A01D5C52A550}" name="godziny.egzamin" dataDxfId="68">
      <calculatedColumnFormula>Tabela_SP4[[#This Row],[godziny.egzamin]]</calculatedColumnFormula>
    </tableColumn>
    <tableColumn id="37" xr3:uid="{5910DEE1-F458-45CB-B38A-C21D1A3D465C}" name="godziny.zajec.razem" dataDxfId="67">
      <calculatedColumnFormula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calculatedColumnFormula>
    </tableColumn>
    <tableColumn id="38" xr3:uid="{F445E037-DAA4-42FA-8A0B-7062FFD8085C}" name="ects.bezpos.kontakt.procent" dataDxfId="66">
      <calculatedColumnFormula>IF(Tabela_SP4_nst[[#This Row],[ects.bezposr.nauczyciel]],Tabela_SP4_nst[[#This Row],[ects.bezposr.nauczyciel]]/Tabela_SP4_nst[[#This Row],[ects.razem]],0)</calculatedColumnFormula>
    </tableColumn>
  </tableColumns>
  <tableStyleInfo showFirstColumn="0" showLastColumn="0" showRowStripes="0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75E089AA-F508-4A0D-AB25-CF3303EA24B5}" name="Tabela_SP5_nst" displayName="Tabela_SP5_nst" ref="B157:AV174" totalsRowShown="0" headerRowDxfId="65" dataDxfId="63" headerRowBorderDxfId="64" tableBorderDxfId="62" totalsRowBorderDxfId="61">
  <autoFilter ref="B157:AV174" xr:uid="{75E089AA-F508-4A0D-AB25-CF3303EA24B5}"/>
  <tableColumns count="47">
    <tableColumn id="1" xr3:uid="{1606F57F-7C99-4F92-A4EA-DF366BBA164E}" name="kod.isced" dataDxfId="60">
      <calculatedColumnFormula>IF(Tabela_SP5[[#This Row],[kod.isced]]&lt;&gt;"",Tabela_SP5[[#This Row],[kod.isced]],"")</calculatedColumnFormula>
    </tableColumn>
    <tableColumn id="2" xr3:uid="{60D83A08-2C31-4251-BCF1-836DBDA0907A}" name="kod.dziedziny" dataDxfId="59">
      <calculatedColumnFormula>IF(Tabela_SP5[[#This Row],[kod.dziedziny]]&lt;&gt;"",Tabela_SP5[[#This Row],[kod.dziedziny]],"")</calculatedColumnFormula>
    </tableColumn>
    <tableColumn id="3" xr3:uid="{236EB771-DDE8-498F-B688-F1E296F9C28D}" name="Modul" dataDxfId="58">
      <calculatedColumnFormula>IF(Tabela_SP5[[#This Row],[Modul]]&lt;&gt;"",Tabela_SP5[[#This Row],[Modul]],"")</calculatedColumnFormula>
    </tableColumn>
    <tableColumn id="4" xr3:uid="{C060D346-2780-4202-A4B7-A4F46C324DE8}" name="Umiej.prakt." dataDxfId="57">
      <calculatedColumnFormula>IF(Tabela_SP5[[#This Row],[Umiej.prakt.]]&lt;&gt;"",Tabela_SP5[[#This Row],[Umiej.prakt.]],"")</calculatedColumnFormula>
    </tableColumn>
    <tableColumn id="5" xr3:uid="{C0934EC2-1789-4DCE-B39C-9324F4B752E7}" name="Nazwa przedmiotu" dataDxfId="56">
      <calculatedColumnFormula>IF(Tabela_SP5[[#This Row],[Nazwa przedmiotu]]&lt;&gt;"",Tabela_SP5[[#This Row],[Nazwa przedmiotu]],"")</calculatedColumnFormula>
    </tableColumn>
    <tableColumn id="6" xr3:uid="{F431E52F-DDD7-4B0D-8261-4513E1028A72}" name="Prowadzacy" dataDxfId="55">
      <calculatedColumnFormula>IF(Tabela_SP5[[#This Row],[Prowadzacy]]&lt;&gt;"",Tabela_SP5[[#This Row],[Prowadzacy]],"")</calculatedColumnFormula>
    </tableColumn>
    <tableColumn id="7" xr3:uid="{4D3BC3BB-7CB4-4730-B98A-B8975D110E4F}" name="Forma" dataDxfId="54">
      <calculatedColumnFormula>IF(Tabela_SP5[[#This Row],[Forma]]&lt;&gt;"",Tabela_SP5[[#This Row],[Forma]],"")</calculatedColumnFormula>
    </tableColumn>
    <tableColumn id="8" xr3:uid="{A2A51E93-7888-4BD8-8B00-C348979C41E8}" name="czy.ects" dataDxfId="53">
      <calculatedColumnFormula>IF(Tabela_SP5[[#This Row],[czy.ects]]&lt;&gt;"",Tabela_SP5[[#This Row],[czy.ects]],"")</calculatedColumnFormula>
    </tableColumn>
    <tableColumn id="9" xr3:uid="{A8B57275-BCBD-4084-804F-B3316F56615B}" name="sem1.godziny" dataDxfId="52">
      <calculatedColumnFormula array="1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calculatedColumnFormula>
    </tableColumn>
    <tableColumn id="10" xr3:uid="{3EF88075-96C7-488A-A4A5-FA7DB2AF54B2}" name="sem1.ects" dataDxfId="51">
      <calculatedColumnFormula array="1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calculatedColumnFormula>
    </tableColumn>
    <tableColumn id="11" xr3:uid="{2546ACF3-17F6-4325-9267-8A650BEBFC10}" name="sem1.forma" dataDxfId="50">
      <calculatedColumnFormula>IF(Tabela_SP5[[#This Row],[sem1.forma]]&lt;&gt;"",Tabela_SP5[[#This Row],[sem1.forma]],"")</calculatedColumnFormula>
    </tableColumn>
    <tableColumn id="12" xr3:uid="{53BA79A0-4C20-4801-AA79-5F58795D437B}" name="sem2.godziny" dataDxfId="49">
      <calculatedColumnFormula array="1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calculatedColumnFormula>
    </tableColumn>
    <tableColumn id="13" xr3:uid="{3C93F3F7-DD70-4E04-A285-E86E4A59B454}" name="sem2.ects" dataDxfId="48">
      <calculatedColumnFormula array="1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calculatedColumnFormula>
    </tableColumn>
    <tableColumn id="14" xr3:uid="{AADC79C3-69C0-497E-8F6C-BCCAA9F03296}" name="sem2.forma" dataDxfId="47">
      <calculatedColumnFormula>IF(Tabela_SP5[[#This Row],[sem2.forma]]&lt;&gt;"",Tabela_SP5[[#This Row],[sem2.forma]],"")</calculatedColumnFormula>
    </tableColumn>
    <tableColumn id="15" xr3:uid="{3805EA9F-542B-4506-BDAB-3B3F2C122AFE}" name="sem3.godziny" dataDxfId="46">
      <calculatedColumnFormula array="1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calculatedColumnFormula>
    </tableColumn>
    <tableColumn id="16" xr3:uid="{9CB39180-A8D7-4E95-A4F4-190AE1660C83}" name="sem3.ects" dataDxfId="45">
      <calculatedColumnFormula array="1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calculatedColumnFormula>
    </tableColumn>
    <tableColumn id="17" xr3:uid="{60EBC5BF-DF73-422D-8844-F7DA8009E9C5}" name="sem3.forma" dataDxfId="44">
      <calculatedColumnFormula>IF(Tabela_SP5[[#This Row],[sem3.forma]]&lt;&gt;"",Tabela_SP5[[#This Row],[sem3.forma]],"")</calculatedColumnFormula>
    </tableColumn>
    <tableColumn id="18" xr3:uid="{943C35F3-FFD0-4C32-8D7B-383C42153F1A}" name="sem4.godziny" dataDxfId="43">
      <calculatedColumnFormula array="1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calculatedColumnFormula>
    </tableColumn>
    <tableColumn id="19" xr3:uid="{7C71686D-D4DF-49CC-9738-289353216F8D}" name="sem4.ects" dataDxfId="42">
      <calculatedColumnFormula array="1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calculatedColumnFormula>
    </tableColumn>
    <tableColumn id="20" xr3:uid="{D1E8850F-54C2-4CF7-8EBF-EDF3EC5A1E77}" name="sem4.forma" dataDxfId="41">
      <calculatedColumnFormula>IF(Tabela_SP5[[#This Row],[sem4.forma]]&lt;&gt;"",Tabela_SP5[[#This Row],[sem4.forma]],"")</calculatedColumnFormula>
    </tableColumn>
    <tableColumn id="21" xr3:uid="{56C8F51B-F459-48C3-9E51-8EC10021DE40}" name="sem5.godziny" dataDxfId="40">
      <calculatedColumnFormula array="1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calculatedColumnFormula>
    </tableColumn>
    <tableColumn id="22" xr3:uid="{36DD43E0-A41B-4F68-8119-3FEC268461B4}" name="sem5.ects" dataDxfId="39">
      <calculatedColumnFormula array="1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calculatedColumnFormula>
    </tableColumn>
    <tableColumn id="23" xr3:uid="{BE5A9837-4440-4242-AE08-04A3432E891B}" name="sem5.forma" dataDxfId="38">
      <calculatedColumnFormula>IF(Tabela_SP5[[#This Row],[sem5.forma]]&lt;&gt;"",Tabela_SP5[[#This Row],[sem5.forma]],"")</calculatedColumnFormula>
    </tableColumn>
    <tableColumn id="24" xr3:uid="{6A79194F-21FB-4EA0-AFF4-04A42CA0A649}" name="sem6.godziny" dataDxfId="37">
      <calculatedColumnFormula array="1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calculatedColumnFormula>
    </tableColumn>
    <tableColumn id="25" xr3:uid="{7D92BBAC-ACD5-482D-B262-724353EC2D3A}" name="sem6.ects" dataDxfId="36">
      <calculatedColumnFormula array="1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calculatedColumnFormula>
    </tableColumn>
    <tableColumn id="26" xr3:uid="{A2305590-514B-4A9C-B95F-9CE5824CC144}" name="sem6.forma" dataDxfId="35">
      <calculatedColumnFormula>IF(Tabela_SP5[[#This Row],[sem6.forma]]&lt;&gt;"",Tabela_SP5[[#This Row],[sem6.forma]],"")</calculatedColumnFormula>
    </tableColumn>
    <tableColumn id="27" xr3:uid="{2710E37E-AAFF-4AAB-BD7C-0485D8BB6B6F}" name="sem7.godziny" dataDxfId="34">
      <calculatedColumnFormula array="1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calculatedColumnFormula>
    </tableColumn>
    <tableColumn id="28" xr3:uid="{7E8510A8-6D35-437C-905C-C23AB275484E}" name="sem7.ects" dataDxfId="33">
      <calculatedColumnFormula array="1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calculatedColumnFormula>
    </tableColumn>
    <tableColumn id="29" xr3:uid="{7920B695-81A2-4330-A7D9-5C51EC79E288}" name="sem7.forma" dataDxfId="32">
      <calculatedColumnFormula>IF(Tabela_SP5[[#This Row],[sem7.forma]]&lt;&gt;"",Tabela_SP5[[#This Row],[sem7.forma]],"")</calculatedColumnFormula>
    </tableColumn>
    <tableColumn id="39" xr3:uid="{EFABB59E-D5B4-40B8-BCCA-1655794B2B4F}" name="sem8.godziny" dataDxfId="31">
      <calculatedColumnFormula array="1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calculatedColumnFormula>
    </tableColumn>
    <tableColumn id="40" xr3:uid="{F673F9D7-36C9-4514-A6A2-091A9496331C}" name="sem8.ects" dataDxfId="30">
      <calculatedColumnFormula array="1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calculatedColumnFormula>
    </tableColumn>
    <tableColumn id="41" xr3:uid="{8DADF8B2-3294-43EC-85EE-A9BDBFF9754E}" name="sem8.forma" dataDxfId="29">
      <calculatedColumnFormula>IF(Tabela_SP5[[#This Row],[sem8.forma]]&lt;&gt;"",Tabela_SP5[[#This Row],[sem8.forma]],"")</calculatedColumnFormula>
    </tableColumn>
    <tableColumn id="42" xr3:uid="{BE1C9F6C-1D1D-45A5-ADD2-3FCAA3E4836F}" name="sem9.godziny" dataDxfId="28">
      <calculatedColumnFormula array="1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calculatedColumnFormula>
    </tableColumn>
    <tableColumn id="43" xr3:uid="{F4AA70B0-484C-473E-AEB6-FE898D418602}" name="sem9.ects" dataDxfId="27">
      <calculatedColumnFormula array="1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calculatedColumnFormula>
    </tableColumn>
    <tableColumn id="44" xr3:uid="{A7A0684A-421B-4A24-95A6-945E1A2AC063}" name="sem9.forma" dataDxfId="26">
      <calculatedColumnFormula>IF(Tabela_SP5[[#This Row],[sem9.forma]]&lt;&gt;"",Tabela_SP5[[#This Row],[sem9.forma]],"")</calculatedColumnFormula>
    </tableColumn>
    <tableColumn id="45" xr3:uid="{B0F63894-63CE-4123-B0FB-1DF68A17BEBD}" name="sem10.godziny" dataDxfId="25">
      <calculatedColumnFormula array="1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calculatedColumnFormula>
    </tableColumn>
    <tableColumn id="46" xr3:uid="{69045FE3-A45E-4668-8B99-C7A8B36D7C57}" name="sem10.ects" dataDxfId="24">
      <calculatedColumnFormula array="1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calculatedColumnFormula>
    </tableColumn>
    <tableColumn id="47" xr3:uid="{F3357E25-2DF6-4E61-BB01-C0083BF98B92}" name="sem10.forma" dataDxfId="23">
      <calculatedColumnFormula>IF(Tabela_SP5[[#This Row],[sem10.forma]]&lt;&gt;"",Tabela_SP5[[#This Row],[sem10.forma]],"")</calculatedColumnFormula>
    </tableColumn>
    <tableColumn id="30" xr3:uid="{756B4F1A-4DA5-4879-BA07-8DF1BFCD3E76}" name="ects.razem" dataDxfId="22">
      <calculatedColumnFormula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calculatedColumnFormula>
    </tableColumn>
    <tableColumn id="31" xr3:uid="{2A7752C0-4F51-45FC-A77D-9660729CC0EC}" name="ects.umiej.prakt." dataDxfId="21">
      <calculatedColumnFormula>IF(ISERR(SEARCH("UP",Tabela_SP5_nst[[#This Row],[Umiej.prakt.]],1)),0,Tabela_SP5_nst[[#This Row],[ects.razem]])</calculatedColumnFormula>
    </tableColumn>
    <tableColumn id="32" xr3:uid="{5B6F9548-EA01-49DB-8A57-96D2E5C69B3D}" name="ects.bezposr.nauczyciel" dataDxfId="20">
      <calculatedColumnFormula>IF(Tabela_SP5_nst[[#This Row],[czy.ects]]="TAK",ROUND((SUM(Tabela_SP5_nst[[#This Row],[godziny.konsultacja]],Tabela_SP5_nst[[#This Row],[godziny.egzamin]],Tabela_SP5_nst[[#This Row],[godziny.zajec.razem]])/25)/0.5,0)*0.5,0)</calculatedColumnFormula>
    </tableColumn>
    <tableColumn id="33" xr3:uid="{7A5D792D-49F6-46CA-9596-C98133C0B11C}" name="godziny.razem.student" dataDxfId="19">
      <calculatedColumnFormula>SUM(Tabela_SP5_nst[[#This Row],[godziny.samoksztalcenie]],Tabela_SP5_nst[[#This Row],[godziny.konsultacja]],Tabela_SP5_nst[[#This Row],[godziny.egzamin]],Tabela_SP5_nst[[#This Row],[godziny.zajec.razem]])</calculatedColumnFormula>
    </tableColumn>
    <tableColumn id="34" xr3:uid="{9394485A-9F7D-408D-92AC-05ABC0DBD42E}" name="godziny.samoksztalcenie" dataDxfId="18">
      <calculatedColumnFormula>Tabela_SP5[[#This Row],[godziny.samoksztalcenie]]+(Tabela_SP5[[#This Row],[godziny.zajec.razem]]-Tabela_SP5_nst[[#This Row],[godziny.zajec.razem]])</calculatedColumnFormula>
    </tableColumn>
    <tableColumn id="35" xr3:uid="{BDBB9303-9678-4732-91AD-3BED02CC900F}" name="godziny.konsultacja" dataDxfId="17">
      <calculatedColumnFormula>Tabela_SP5[[#This Row],[godziny.konsultacja]]</calculatedColumnFormula>
    </tableColumn>
    <tableColumn id="36" xr3:uid="{B2171A1E-674E-4FBC-9E77-D12E40BA0D35}" name="godziny.egzamin" dataDxfId="16">
      <calculatedColumnFormula>Tabela_SP5[[#This Row],[godziny.egzamin]]</calculatedColumnFormula>
    </tableColumn>
    <tableColumn id="37" xr3:uid="{B94B430E-4870-4990-9108-4537CC5B53FB}" name="godziny.zajec.razem" dataDxfId="15">
      <calculatedColumnFormula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calculatedColumnFormula>
    </tableColumn>
    <tableColumn id="38" xr3:uid="{56553804-2AE5-4913-AA84-6720D43784A8}" name="ects.bezpos.kontakt.procent" dataDxfId="14">
      <calculatedColumnFormula>IF(Tabela_SP5_nst[[#This Row],[ects.bezposr.nauczyciel]],Tabela_SP5_nst[[#This Row],[ects.bezposr.nauczyciel]]/Tabela_SP5_nst[[#This Row],[ects.razem]],0)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polon.nauka.gov.pl/dokuwiki/lib/exe/fetch.php/kierunkistudiow/uprawnieniastudia/tlumaczenie_isced-f_2014-10-10.pdf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W207"/>
  <sheetViews>
    <sheetView view="pageBreakPreview" topLeftCell="A123" zoomScale="60" zoomScaleNormal="110" workbookViewId="0">
      <selection activeCell="F3" sqref="F3:F4"/>
    </sheetView>
  </sheetViews>
  <sheetFormatPr defaultColWidth="0" defaultRowHeight="17.25" customHeight="1" x14ac:dyDescent="0.2"/>
  <cols>
    <col min="1" max="1" width="1.125" customWidth="1"/>
    <col min="2" max="3" width="7.5" customWidth="1"/>
    <col min="4" max="4" width="10" customWidth="1"/>
    <col min="5" max="5" width="5" customWidth="1"/>
    <col min="6" max="6" width="38.125" customWidth="1"/>
    <col min="7" max="7" width="13.625" hidden="1" customWidth="1"/>
    <col min="8" max="8" width="11.125" customWidth="1"/>
    <col min="9" max="9" width="5.625" customWidth="1"/>
    <col min="10" max="27" width="5" customWidth="1"/>
    <col min="28" max="39" width="5" hidden="1" customWidth="1"/>
    <col min="40" max="40" width="7.5" customWidth="1"/>
    <col min="41" max="41" width="10.125" customWidth="1"/>
    <col min="42" max="42" width="15" customWidth="1"/>
    <col min="43" max="47" width="7.5" customWidth="1"/>
    <col min="48" max="48" width="13.625" customWidth="1"/>
    <col min="49" max="49" width="1.125" customWidth="1"/>
    <col min="50" max="16384" width="12.625" hidden="1"/>
  </cols>
  <sheetData>
    <row r="1" spans="1:49" ht="7.5" customHeight="1" thickBot="1" x14ac:dyDescent="0.35">
      <c r="A1" s="207"/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  <c r="AR1" s="207"/>
      <c r="AS1" s="207"/>
      <c r="AT1" s="207"/>
      <c r="AU1" s="207"/>
      <c r="AV1" s="207"/>
      <c r="AW1" s="207"/>
    </row>
    <row r="2" spans="1:49" ht="38.25" customHeight="1" thickBot="1" x14ac:dyDescent="0.35">
      <c r="A2" s="207"/>
      <c r="B2" s="777" t="s">
        <v>612</v>
      </c>
      <c r="C2" s="778"/>
      <c r="D2" s="778"/>
      <c r="E2" s="778"/>
      <c r="F2" s="778"/>
      <c r="G2" s="778"/>
      <c r="H2" s="778"/>
      <c r="I2" s="779"/>
      <c r="J2" s="780" t="s">
        <v>0</v>
      </c>
      <c r="K2" s="781"/>
      <c r="L2" s="781"/>
      <c r="M2" s="781"/>
      <c r="N2" s="781"/>
      <c r="O2" s="781"/>
      <c r="P2" s="782" t="s">
        <v>1</v>
      </c>
      <c r="Q2" s="781"/>
      <c r="R2" s="781"/>
      <c r="S2" s="781"/>
      <c r="T2" s="781"/>
      <c r="U2" s="781"/>
      <c r="V2" s="764" t="s">
        <v>2</v>
      </c>
      <c r="W2" s="764"/>
      <c r="X2" s="764"/>
      <c r="Y2" s="764"/>
      <c r="Z2" s="764"/>
      <c r="AA2" s="764"/>
      <c r="AB2" s="765" t="s">
        <v>3</v>
      </c>
      <c r="AC2" s="765"/>
      <c r="AD2" s="765"/>
      <c r="AE2" s="765"/>
      <c r="AF2" s="765"/>
      <c r="AG2" s="765"/>
      <c r="AH2" s="758" t="s">
        <v>421</v>
      </c>
      <c r="AI2" s="758"/>
      <c r="AJ2" s="758"/>
      <c r="AK2" s="758"/>
      <c r="AL2" s="758"/>
      <c r="AM2" s="758"/>
      <c r="AN2" s="208"/>
      <c r="AO2" s="209"/>
      <c r="AP2" s="138"/>
      <c r="AQ2" s="139"/>
      <c r="AR2" s="139"/>
      <c r="AS2" s="139"/>
      <c r="AT2" s="139"/>
      <c r="AU2" s="139"/>
      <c r="AV2" s="140"/>
      <c r="AW2" s="49"/>
    </row>
    <row r="3" spans="1:49" ht="17.25" customHeight="1" thickBot="1" x14ac:dyDescent="0.35">
      <c r="A3" s="207"/>
      <c r="B3" s="734"/>
      <c r="C3" s="735"/>
      <c r="D3" s="735"/>
      <c r="E3" s="736"/>
      <c r="F3" s="737" t="s">
        <v>422</v>
      </c>
      <c r="G3" s="739" t="s">
        <v>15</v>
      </c>
      <c r="H3" s="741" t="s">
        <v>16</v>
      </c>
      <c r="I3" s="741" t="s">
        <v>17</v>
      </c>
      <c r="J3" s="774" t="s">
        <v>4</v>
      </c>
      <c r="K3" s="760"/>
      <c r="L3" s="761"/>
      <c r="M3" s="775" t="s">
        <v>5</v>
      </c>
      <c r="N3" s="760"/>
      <c r="O3" s="761"/>
      <c r="P3" s="768" t="s">
        <v>6</v>
      </c>
      <c r="Q3" s="760"/>
      <c r="R3" s="761"/>
      <c r="S3" s="776" t="s">
        <v>7</v>
      </c>
      <c r="T3" s="760"/>
      <c r="U3" s="761"/>
      <c r="V3" s="743" t="s">
        <v>8</v>
      </c>
      <c r="W3" s="744"/>
      <c r="X3" s="745"/>
      <c r="Y3" s="746" t="s">
        <v>9</v>
      </c>
      <c r="Z3" s="747"/>
      <c r="AA3" s="748"/>
      <c r="AB3" s="759" t="s">
        <v>10</v>
      </c>
      <c r="AC3" s="760"/>
      <c r="AD3" s="761"/>
      <c r="AE3" s="755" t="s">
        <v>418</v>
      </c>
      <c r="AF3" s="756"/>
      <c r="AG3" s="757"/>
      <c r="AH3" s="749" t="s">
        <v>419</v>
      </c>
      <c r="AI3" s="750"/>
      <c r="AJ3" s="751"/>
      <c r="AK3" s="752" t="s">
        <v>420</v>
      </c>
      <c r="AL3" s="753"/>
      <c r="AM3" s="754"/>
      <c r="AN3" s="733" t="s">
        <v>11</v>
      </c>
      <c r="AO3" s="733"/>
      <c r="AP3" s="733"/>
      <c r="AQ3" s="733"/>
      <c r="AR3" s="733"/>
      <c r="AS3" s="733"/>
      <c r="AT3" s="733"/>
      <c r="AU3" s="733"/>
      <c r="AV3" s="733"/>
      <c r="AW3" s="49"/>
    </row>
    <row r="4" spans="1:49" ht="141.75" customHeight="1" thickBot="1" x14ac:dyDescent="0.35">
      <c r="A4" s="207"/>
      <c r="B4" s="107" t="s">
        <v>12</v>
      </c>
      <c r="C4" s="146" t="s">
        <v>423</v>
      </c>
      <c r="D4" s="146" t="s">
        <v>13</v>
      </c>
      <c r="E4" s="146" t="s">
        <v>14</v>
      </c>
      <c r="F4" s="738"/>
      <c r="G4" s="740"/>
      <c r="H4" s="742"/>
      <c r="I4" s="742"/>
      <c r="J4" s="108" t="s">
        <v>18</v>
      </c>
      <c r="K4" s="109" t="s">
        <v>19</v>
      </c>
      <c r="L4" s="110" t="s">
        <v>20</v>
      </c>
      <c r="M4" s="111" t="s">
        <v>18</v>
      </c>
      <c r="N4" s="112" t="s">
        <v>19</v>
      </c>
      <c r="O4" s="113" t="s">
        <v>20</v>
      </c>
      <c r="P4" s="114" t="s">
        <v>18</v>
      </c>
      <c r="Q4" s="115" t="s">
        <v>19</v>
      </c>
      <c r="R4" s="116" t="s">
        <v>20</v>
      </c>
      <c r="S4" s="117" t="s">
        <v>18</v>
      </c>
      <c r="T4" s="118" t="s">
        <v>19</v>
      </c>
      <c r="U4" s="119" t="s">
        <v>20</v>
      </c>
      <c r="V4" s="120" t="s">
        <v>18</v>
      </c>
      <c r="W4" s="121" t="s">
        <v>19</v>
      </c>
      <c r="X4" s="122" t="s">
        <v>20</v>
      </c>
      <c r="Y4" s="123" t="s">
        <v>18</v>
      </c>
      <c r="Z4" s="124" t="s">
        <v>19</v>
      </c>
      <c r="AA4" s="125" t="s">
        <v>20</v>
      </c>
      <c r="AB4" s="126" t="s">
        <v>18</v>
      </c>
      <c r="AC4" s="127" t="s">
        <v>19</v>
      </c>
      <c r="AD4" s="128" t="s">
        <v>20</v>
      </c>
      <c r="AE4" s="129" t="s">
        <v>18</v>
      </c>
      <c r="AF4" s="130" t="s">
        <v>19</v>
      </c>
      <c r="AG4" s="131" t="s">
        <v>20</v>
      </c>
      <c r="AH4" s="132" t="s">
        <v>18</v>
      </c>
      <c r="AI4" s="133" t="s">
        <v>19</v>
      </c>
      <c r="AJ4" s="134" t="s">
        <v>20</v>
      </c>
      <c r="AK4" s="135" t="s">
        <v>18</v>
      </c>
      <c r="AL4" s="136" t="s">
        <v>19</v>
      </c>
      <c r="AM4" s="137" t="s">
        <v>20</v>
      </c>
      <c r="AN4" s="141" t="s">
        <v>21</v>
      </c>
      <c r="AO4" s="142" t="s">
        <v>22</v>
      </c>
      <c r="AP4" s="143" t="s">
        <v>23</v>
      </c>
      <c r="AQ4" s="144" t="s">
        <v>24</v>
      </c>
      <c r="AR4" s="145" t="s">
        <v>25</v>
      </c>
      <c r="AS4" s="144" t="s">
        <v>26</v>
      </c>
      <c r="AT4" s="143" t="s">
        <v>27</v>
      </c>
      <c r="AU4" s="142" t="s">
        <v>28</v>
      </c>
      <c r="AV4" s="142" t="s">
        <v>29</v>
      </c>
      <c r="AW4" s="49"/>
    </row>
    <row r="5" spans="1:49" ht="17.25" customHeight="1" x14ac:dyDescent="0.3">
      <c r="A5" s="207"/>
      <c r="B5" s="103"/>
      <c r="C5" s="104"/>
      <c r="D5" s="104"/>
      <c r="E5" s="104"/>
      <c r="F5" s="105" t="s">
        <v>30</v>
      </c>
      <c r="G5" s="105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6"/>
      <c r="AW5" s="49"/>
    </row>
    <row r="6" spans="1:49" ht="34.5" customHeight="1" x14ac:dyDescent="0.3">
      <c r="A6" s="207"/>
      <c r="B6" s="2"/>
      <c r="C6" s="3"/>
      <c r="D6" s="3"/>
      <c r="E6" s="3"/>
      <c r="F6" s="675" t="s">
        <v>537</v>
      </c>
      <c r="G6" s="4"/>
      <c r="H6" s="3"/>
      <c r="I6" s="3"/>
      <c r="J6" s="3">
        <f>SUM(Tabela_ogolne[sem1.godziny],Tabela_podst[sem1.godziny],Tabela_kier[sem1.godziny],Tabela_SP1[sem1.godziny], Tabela_do_wyboru[sem1.godziny])</f>
        <v>330</v>
      </c>
      <c r="K6" s="3">
        <f>SUM(Tabela_ogolne[sem1.ects],Tabela_podst[sem1.ects],Tabela_kier[sem1.ects],Tabela_SP1[sem1.ects], Tabela_do_wyboru[sem1.ects])</f>
        <v>28</v>
      </c>
      <c r="L6" s="3"/>
      <c r="M6" s="3">
        <f>SUM(Tabela_ogolne[sem2.godziny],Tabela_podst[sem2.godziny],Tabela_kier[sem2.godziny],Tabela_SP1[sem2.godziny], Tabela_do_wyboru[sem2.godziny])</f>
        <v>470</v>
      </c>
      <c r="N6" s="3">
        <f>SUM(Tabela_ogolne[sem2.ects],Tabela_podst[sem2.ects],Tabela_kier[sem2.ects],Tabela_SP1[sem2.ects], Tabela_do_wyboru[sem2.ects])</f>
        <v>29</v>
      </c>
      <c r="O6" s="3"/>
      <c r="P6" s="3">
        <f>SUM(Tabela_ogolne[sem3.godziny],Tabela_podst[sem3.godziny],Tabela_kier[sem3.godziny],Tabela_SP1[sem3.godziny], Tabela_do_wyboru[sem3.godziny])</f>
        <v>455</v>
      </c>
      <c r="Q6" s="3">
        <f>SUM(Tabela_ogolne[sem3.ects],Tabela_podst[sem3.ects],Tabela_kier[sem3.ects],Tabela_SP1[sem3.ects], Tabela_do_wyboru[sem3.ects])</f>
        <v>29</v>
      </c>
      <c r="R6" s="3"/>
      <c r="S6" s="3">
        <f>SUM(Tabela_ogolne[sem4.godziny],Tabela_podst[sem4.godziny],Tabela_kier[sem4.godziny],Tabela_SP1[sem4.godziny], Tabela_do_wyboru[sem4.godziny])</f>
        <v>455</v>
      </c>
      <c r="T6" s="3">
        <f>SUM(Tabela_ogolne[sem4.ects],Tabela_podst[sem4.ects],Tabela_kier[sem4.ects],Tabela_SP1[sem4.ects], Tabela_do_wyboru[sem4.ects])</f>
        <v>30</v>
      </c>
      <c r="U6" s="3"/>
      <c r="V6" s="3">
        <f>SUM(Tabela_ogolne[sem5.godziny],Tabela_podst[sem5.godziny],Tabela_kier[sem5.godziny],Tabela_SP1[sem5.godziny], Tabela_do_wyboru[sem5.godziny])</f>
        <v>485</v>
      </c>
      <c r="W6" s="3">
        <f>SUM(Tabela_ogolne[sem5.ects],Tabela_podst[sem5.ects],Tabela_kier[sem5.ects],Tabela_SP1[sem5.ects], Tabela_do_wyboru[sem5.ects])</f>
        <v>32</v>
      </c>
      <c r="X6" s="3"/>
      <c r="Y6" s="3">
        <f>SUM(Tabela_ogolne[sem6.godziny],Tabela_podst[sem6.godziny],Tabela_kier[sem6.godziny],Tabela_SP1[sem6.godziny], Tabela_do_wyboru[sem6.godziny])</f>
        <v>478</v>
      </c>
      <c r="Z6" s="3">
        <f>SUM(Tabela_ogolne[sem6.ects],Tabela_podst[sem6.ects],Tabela_kier[sem6.ects],Tabela_SP1[sem6.ects], Tabela_do_wyboru[sem6.ects])</f>
        <v>32</v>
      </c>
      <c r="AA6" s="3"/>
      <c r="AB6" s="3">
        <f>SUM(Tabela_ogolne[sem7.godziny],Tabela_podst[sem7.godziny],Tabela_kier[sem7.godziny],Tabela_SP1[sem7.godziny], Tabela_do_wyboru[sem7.godziny])</f>
        <v>0</v>
      </c>
      <c r="AC6" s="3">
        <f>SUM(Tabela_ogolne[sem7.ects],Tabela_podst[sem7.ects],Tabela_kier[sem7.ects],Tabela_SP1[sem7.ects], Tabela_do_wyboru[sem7.ects])</f>
        <v>0</v>
      </c>
      <c r="AD6" s="3"/>
      <c r="AE6" s="3">
        <f>SUM(Tabela_ogolne[sem8.godziny],Tabela_podst[sem8.godziny],Tabela_kier[sem8.godziny],Tabela_SP1[sem8.godziny], Tabela_do_wyboru[sem8.godziny])</f>
        <v>0</v>
      </c>
      <c r="AF6" s="3">
        <f>SUM(Tabela_ogolne[sem8.ects],Tabela_podst[sem8.ects],Tabela_kier[sem8.ects],Tabela_SP1[sem8.ects], Tabela_do_wyboru[sem8.ects])</f>
        <v>0</v>
      </c>
      <c r="AG6" s="3"/>
      <c r="AH6" s="3">
        <f>SUM(Tabela_ogolne[sem9.godziny],Tabela_podst[sem9.godziny],Tabela_kier[sem9.godziny],Tabela_SP1[sem9.godziny], Tabela_do_wyboru[sem9.godziny])</f>
        <v>0</v>
      </c>
      <c r="AI6" s="3">
        <f>SUM(Tabela_ogolne[sem9.ects],Tabela_podst[sem9.ects],Tabela_kier[sem9.ects],Tabela_SP1[sem9.ects], Tabela_do_wyboru[sem9.ects])</f>
        <v>0</v>
      </c>
      <c r="AJ6" s="3"/>
      <c r="AK6" s="3">
        <f>SUM(Tabela_ogolne[sem10.godziny],Tabela_podst[sem10.godziny],Tabela_kier[sem10.godziny],Tabela_SP1[sem10.godziny], Tabela_do_wyboru[sem10.godziny])</f>
        <v>0</v>
      </c>
      <c r="AL6" s="3">
        <f>SUM(Tabela_ogolne[sem10.ects],Tabela_podst[sem10.ects],Tabela_kier[sem10.ects],Tabela_SP1[sem10.ects], Tabela_do_wyboru[sem10.ects])</f>
        <v>0</v>
      </c>
      <c r="AM6" s="3"/>
      <c r="AN6" s="3">
        <f>SUM(Tabela_ogolne[ects.razem],Tabela_podst[ects.razem],Tabela_kier[ects.razem],Tabela_SP1[ects.razem], Tabela_do_wyboru[ects.razem])</f>
        <v>180</v>
      </c>
      <c r="AO6" s="3">
        <f>SUM(Tabela_ogolne[ects.umiej.prakt.],Tabela_podst[ects.umiej.prakt.],Tabela_kier[ects.umiej.prakt.],Tabela_SP1[ects.umiej.prakt.], Tabela_do_wyboru[ects.umiej.prakt.])</f>
        <v>134</v>
      </c>
      <c r="AP6" s="3">
        <f>SUM(Tabela_ogolne[ects.bezposr.nauczyciel],Tabela_podst[ects.bezposr.nauczyciel],Tabela_kier[ects.bezposr.nauczyciel],Tabela_SP1[ects.bezposr.nauczyciel], Tabela_do_wyboru[ects.bezposr.nauczyciel])</f>
        <v>115</v>
      </c>
      <c r="AQ6" s="3">
        <f>SUM(Tabela_ogolne[godziny.razem.student],Tabela_podst[godziny.razem.student],Tabela_kier[godziny.razem.student],Tabela_SP1[godziny.razem.student], Tabela_do_wyboru[godziny.razem.student])</f>
        <v>4584</v>
      </c>
      <c r="AR6" s="3">
        <f>SUM(Tabela_ogolne[godziny.samoksztalcenie],Tabela_podst[godziny.samoksztalcenie],Tabela_kier[godziny.samoksztalcenie],Tabela_SP1[godziny.samoksztalcenie], Tabela_do_wyboru[godziny.samoksztalcenie])</f>
        <v>1515</v>
      </c>
      <c r="AS6" s="3">
        <f>SUM(Tabela_ogolne[godziny.konsultacja],Tabela_podst[godziny.konsultacja],Tabela_kier[godziny.konsultacja],Tabela_SP1[godziny.konsultacja], Tabela_do_wyboru[godziny.konsultacja])</f>
        <v>254</v>
      </c>
      <c r="AT6" s="3">
        <f>SUM(Tabela_ogolne[godziny.egzamin],Tabela_podst[godziny.egzamin],Tabela_kier[godziny.egzamin],Tabela_SP1[godziny.egzamin], Tabela_do_wyboru[godziny.egzamin])</f>
        <v>142</v>
      </c>
      <c r="AU6" s="3">
        <f>SUM(Tabela_ogolne[godziny.zajec.razem],Tabela_podst[godziny.zajec.razem],Tabela_kier[godziny.zajec.razem],Tabela_SP1[godziny.zajec.razem], Tabela_do_wyboru[godziny.zajec.razem])</f>
        <v>2673</v>
      </c>
      <c r="AV6" s="76">
        <f>IF(AP6,AP6/AN6,"")</f>
        <v>0.63888888888888884</v>
      </c>
      <c r="AW6" s="49"/>
    </row>
    <row r="7" spans="1:49" ht="34.5" customHeight="1" x14ac:dyDescent="0.3">
      <c r="A7" s="207"/>
      <c r="B7" s="2"/>
      <c r="C7" s="3"/>
      <c r="D7" s="3"/>
      <c r="E7" s="3"/>
      <c r="F7" s="675" t="s">
        <v>560</v>
      </c>
      <c r="G7" s="4"/>
      <c r="H7" s="3"/>
      <c r="I7" s="3"/>
      <c r="J7" s="3">
        <f>SUM(Tabela_ogolne[sem1.godziny],Tabela_podst[sem1.godziny],Tabela_kier[sem1.godziny],Tabela_SP2[sem1.godziny], Tabela_do_wyboru[sem1.godziny])</f>
        <v>330</v>
      </c>
      <c r="K7" s="3">
        <f>SUM(Tabela_ogolne[sem1.ects],Tabela_podst[sem1.ects],Tabela_kier[sem1.ects],Tabela_SP2[sem1.ects], Tabela_do_wyboru[sem1.ects])</f>
        <v>28</v>
      </c>
      <c r="L7" s="3"/>
      <c r="M7" s="3">
        <f>SUM(Tabela_ogolne[sem2.godziny],Tabela_podst[sem2.godziny],Tabela_kier[sem2.godziny],Tabela_SP2[sem2.godziny], Tabela_do_wyboru[sem2.godziny])</f>
        <v>470</v>
      </c>
      <c r="N7" s="3">
        <f>SUM(Tabela_ogolne[sem2.ects],Tabela_podst[sem2.ects],Tabela_kier[sem2.ects],Tabela_SP2[sem2.ects], Tabela_do_wyboru[sem2.ects])</f>
        <v>29</v>
      </c>
      <c r="O7" s="3"/>
      <c r="P7" s="3">
        <f>SUM(Tabela_ogolne[sem3.godziny],Tabela_podst[sem3.godziny],Tabela_kier[sem3.godziny],Tabela_SP2[sem3.godziny], Tabela_do_wyboru[sem3.godziny])</f>
        <v>455</v>
      </c>
      <c r="Q7" s="3">
        <f>SUM(Tabela_ogolne[sem3.ects],Tabela_podst[sem3.ects],Tabela_kier[sem3.ects],Tabela_SP2[sem3.ects], Tabela_do_wyboru[sem3.ects])</f>
        <v>29</v>
      </c>
      <c r="R7" s="3"/>
      <c r="S7" s="3">
        <f>SUM(Tabela_ogolne[sem4.godziny],Tabela_podst[sem4.godziny],Tabela_kier[sem4.godziny],Tabela_SP2[sem4.godziny], Tabela_do_wyboru[sem4.godziny])</f>
        <v>455</v>
      </c>
      <c r="T7" s="3">
        <f>SUM(Tabela_ogolne[sem4.ects],Tabela_podst[sem4.ects],Tabela_kier[sem4.ects],Tabela_SP2[sem4.ects], Tabela_do_wyboru[sem4.ects])</f>
        <v>30</v>
      </c>
      <c r="U7" s="3"/>
      <c r="V7" s="3">
        <f>SUM(Tabela_ogolne[sem5.godziny],Tabela_podst[sem5.godziny],Tabela_kier[sem5.godziny],Tabela_SP2[sem5.godziny], Tabela_do_wyboru[sem5.godziny])</f>
        <v>500</v>
      </c>
      <c r="W7" s="3">
        <f>SUM(Tabela_ogolne[sem5.ects],Tabela_podst[sem5.ects],Tabela_kier[sem5.ects],Tabela_SP2[sem5.ects], Tabela_do_wyboru[sem5.ects])</f>
        <v>32</v>
      </c>
      <c r="X7" s="3"/>
      <c r="Y7" s="3">
        <f>SUM(Tabela_ogolne[sem6.godziny],Tabela_podst[sem6.godziny],Tabela_kier[sem6.godziny],Tabela_SP2[sem6.godziny], Tabela_do_wyboru[sem6.godziny])</f>
        <v>478</v>
      </c>
      <c r="Z7" s="3">
        <f>SUM(Tabela_ogolne[sem6.ects],Tabela_podst[sem6.ects],Tabela_kier[sem6.ects],Tabela_SP2[sem6.ects], Tabela_do_wyboru[sem6.ects])</f>
        <v>32</v>
      </c>
      <c r="AA7" s="3"/>
      <c r="AB7" s="3">
        <f>SUM(Tabela_ogolne[sem7.godziny],Tabela_podst[sem7.godziny],Tabela_kier[sem7.godziny],Tabela_SP2[sem7.godziny], Tabela_do_wyboru[sem7.godziny])</f>
        <v>0</v>
      </c>
      <c r="AC7" s="3">
        <f>SUM(Tabela_ogolne[sem7.ects],Tabela_podst[sem7.ects],Tabela_kier[sem7.ects],Tabela_SP2[sem7.ects], Tabela_do_wyboru[sem7.ects])</f>
        <v>0</v>
      </c>
      <c r="AD7" s="3"/>
      <c r="AE7" s="3">
        <f>SUM(Tabela_ogolne[sem8.godziny],Tabela_podst[sem8.godziny],Tabela_kier[sem8.godziny],Tabela_SP2[sem8.godziny], Tabela_do_wyboru[sem8.godziny])</f>
        <v>0</v>
      </c>
      <c r="AF7" s="3">
        <f>SUM(Tabela_ogolne[sem8.ects],Tabela_podst[sem8.ects],Tabela_kier[sem8.ects],Tabela_SP2[sem8.ects], Tabela_do_wyboru[sem8.ects])</f>
        <v>0</v>
      </c>
      <c r="AG7" s="3"/>
      <c r="AH7" s="3">
        <f>SUM(Tabela_ogolne[sem9.godziny],Tabela_podst[sem9.godziny],Tabela_kier[sem9.godziny],Tabela_SP2[sem9.godziny], Tabela_do_wyboru[sem9.godziny])</f>
        <v>0</v>
      </c>
      <c r="AI7" s="3">
        <f>SUM(Tabela_ogolne[sem9.ects],Tabela_podst[sem9.ects],Tabela_kier[sem9.ects],Tabela_SP2[sem9.ects], Tabela_do_wyboru[sem9.ects])</f>
        <v>0</v>
      </c>
      <c r="AJ7" s="3"/>
      <c r="AK7" s="3">
        <f>SUM(Tabela_ogolne[sem10.godziny],Tabela_podst[sem10.godziny],Tabela_kier[sem10.godziny],Tabela_SP2[sem10.godziny], Tabela_do_wyboru[sem10.godziny])</f>
        <v>0</v>
      </c>
      <c r="AL7" s="3">
        <f>SUM(Tabela_ogolne[sem10.ects],Tabela_podst[sem10.ects],Tabela_kier[sem10.ects],Tabela_SP2[sem10.ects], Tabela_do_wyboru[sem10.ects])</f>
        <v>0</v>
      </c>
      <c r="AM7" s="3"/>
      <c r="AN7" s="3">
        <f>SUM(Tabela_ogolne[ects.razem],Tabela_podst[ects.razem],Tabela_kier[ects.razem],Tabela_SP2[ects.razem], Tabela_do_wyboru[ects.razem])</f>
        <v>180</v>
      </c>
      <c r="AO7" s="3">
        <f>SUM(Tabela_ogolne[ects.umiej.prakt.],Tabela_podst[ects.umiej.prakt.],Tabela_kier[ects.umiej.prakt.],Tabela_SP2[ects.umiej.prakt.], Tabela_do_wyboru[ects.umiej.prakt.])</f>
        <v>134</v>
      </c>
      <c r="AP7" s="683">
        <f>SUM(Tabela_ogolne[ects.bezposr.nauczyciel],Tabela_podst[ects.bezposr.nauczyciel],Tabela_kier[ects.bezposr.nauczyciel],Tabela_SP2[ects.bezposr.nauczyciel], Tabela_do_wyboru[ects.bezposr.nauczyciel])</f>
        <v>115.5</v>
      </c>
      <c r="AQ7" s="3">
        <f>SUM(Tabela_ogolne[godziny.razem.student],Tabela_podst[godziny.razem.student],Tabela_kier[godziny.razem.student],Tabela_SP2[godziny.razem.student], Tabela_do_wyboru[godziny.razem.student])</f>
        <v>4611</v>
      </c>
      <c r="AR7" s="3">
        <f>SUM(Tabela_ogolne[godziny.samoksztalcenie],Tabela_podst[godziny.samoksztalcenie],Tabela_kier[godziny.samoksztalcenie],Tabela_SP2[godziny.samoksztalcenie], Tabela_do_wyboru[godziny.samoksztalcenie])</f>
        <v>1524</v>
      </c>
      <c r="AS7" s="3">
        <f>SUM(Tabela_ogolne[godziny.konsultacja],Tabela_podst[godziny.konsultacja],Tabela_kier[godziny.konsultacja],Tabela_SP2[godziny.konsultacja], Tabela_do_wyboru[godziny.konsultacja])</f>
        <v>255</v>
      </c>
      <c r="AT7" s="3">
        <f>SUM(Tabela_ogolne[godziny.egzamin],Tabela_podst[godziny.egzamin],Tabela_kier[godziny.egzamin],Tabela_SP2[godziny.egzamin], Tabela_do_wyboru[godziny.egzamin])</f>
        <v>144</v>
      </c>
      <c r="AU7" s="3">
        <f>SUM(Tabela_ogolne[godziny.zajec.razem],Tabela_podst[godziny.zajec.razem],Tabela_kier[godziny.zajec.razem],Tabela_SP2[godziny.zajec.razem], Tabela_do_wyboru[godziny.zajec.razem])</f>
        <v>2688</v>
      </c>
      <c r="AV7" s="76">
        <f>IF(AP7,AP7/AN7,"")</f>
        <v>0.64166666666666672</v>
      </c>
      <c r="AW7" s="49"/>
    </row>
    <row r="8" spans="1:49" ht="34.5" customHeight="1" x14ac:dyDescent="0.3">
      <c r="A8" s="207"/>
      <c r="B8" s="2"/>
      <c r="C8" s="3"/>
      <c r="D8" s="3"/>
      <c r="E8" s="3"/>
      <c r="F8" s="676" t="s">
        <v>606</v>
      </c>
      <c r="G8" s="5"/>
      <c r="H8" s="3"/>
      <c r="I8" s="3"/>
      <c r="J8" s="3">
        <f>SUM(Tabela_ogolne[sem1.godziny],Tabela_podst[sem1.godziny],Tabela_kier[sem1.godziny],Tabela_SP3[sem1.godziny], Tabela_do_wyboru[sem1.godziny])</f>
        <v>330</v>
      </c>
      <c r="K8" s="3">
        <f>SUM(Tabela_ogolne[sem1.ects],Tabela_podst[sem1.ects],Tabela_kier[sem1.ects],Tabela_SP3[sem1.ects], Tabela_do_wyboru[sem1.ects])</f>
        <v>28</v>
      </c>
      <c r="L8" s="3"/>
      <c r="M8" s="3">
        <f>SUM(Tabela_ogolne[sem2.godziny],Tabela_podst[sem2.godziny],Tabela_kier[sem2.godziny],Tabela_SP3[sem2.godziny], Tabela_do_wyboru[sem2.godziny])</f>
        <v>470</v>
      </c>
      <c r="N8" s="3">
        <f>SUM(Tabela_ogolne[sem2.ects],Tabela_podst[sem2.ects],Tabela_kier[sem2.ects],Tabela_SP3[sem2.ects], Tabela_do_wyboru[sem2.ects])</f>
        <v>29</v>
      </c>
      <c r="O8" s="3"/>
      <c r="P8" s="3">
        <f>SUM(Tabela_ogolne[sem3.godziny],Tabela_podst[sem3.godziny],Tabela_kier[sem3.godziny],Tabela_SP3[sem3.godziny], Tabela_do_wyboru[sem3.godziny])</f>
        <v>455</v>
      </c>
      <c r="Q8" s="3">
        <f>SUM(Tabela_ogolne[sem3.ects],Tabela_podst[sem3.ects],Tabela_kier[sem3.ects],Tabela_SP3[sem3.ects], Tabela_do_wyboru[sem3.ects])</f>
        <v>29</v>
      </c>
      <c r="R8" s="3"/>
      <c r="S8" s="3">
        <f>SUM(Tabela_ogolne[sem4.godziny],Tabela_podst[sem4.godziny],Tabela_kier[sem4.godziny],Tabela_SP3[sem4.godziny], Tabela_do_wyboru[sem4.godziny])</f>
        <v>440</v>
      </c>
      <c r="T8" s="3">
        <f>SUM(Tabela_ogolne[sem4.ects],Tabela_podst[sem4.ects],Tabela_kier[sem4.ects],Tabela_SP3[sem4.ects], Tabela_do_wyboru[sem4.ects])</f>
        <v>29</v>
      </c>
      <c r="U8" s="3"/>
      <c r="V8" s="3">
        <f>SUM(Tabela_ogolne[sem5.godziny],Tabela_podst[sem5.godziny],Tabela_kier[sem5.godziny],Tabela_SP3[sem5.godziny], Tabela_do_wyboru[sem5.godziny])</f>
        <v>500</v>
      </c>
      <c r="W8" s="3">
        <f>SUM(Tabela_ogolne[sem5.ects],Tabela_podst[sem5.ects],Tabela_kier[sem5.ects],Tabela_SP3[sem5.ects], Tabela_do_wyboru[sem5.ects])</f>
        <v>33</v>
      </c>
      <c r="X8" s="3"/>
      <c r="Y8" s="3">
        <f>SUM(Tabela_ogolne[sem6.godziny],Tabela_podst[sem6.godziny],Tabela_kier[sem6.godziny],Tabela_SP3[sem6.godziny], Tabela_do_wyboru[sem6.godziny])</f>
        <v>478</v>
      </c>
      <c r="Z8" s="3">
        <f>SUM(Tabela_ogolne[sem6.ects],Tabela_podst[sem6.ects],Tabela_kier[sem6.ects],Tabela_SP3[sem6.ects], Tabela_do_wyboru[sem6.ects])</f>
        <v>32</v>
      </c>
      <c r="AA8" s="3"/>
      <c r="AB8" s="3">
        <f>SUM(Tabela_ogolne[sem7.godziny],Tabela_podst[sem7.godziny],Tabela_kier[sem7.godziny],Tabela_SP3[sem7.godziny], Tabela_do_wyboru[sem7.godziny])</f>
        <v>0</v>
      </c>
      <c r="AC8" s="3">
        <f>SUM(Tabela_ogolne[sem7.ects],Tabela_podst[sem7.ects],Tabela_kier[sem7.ects],Tabela_SP3[sem7.ects], Tabela_do_wyboru[sem7.ects])</f>
        <v>0</v>
      </c>
      <c r="AD8" s="3"/>
      <c r="AE8" s="3">
        <f>SUM(Tabela_ogolne[sem8.godziny],Tabela_podst[sem8.godziny],Tabela_kier[sem8.godziny],Tabela_SP3[sem8.godziny], Tabela_do_wyboru[sem8.godziny])</f>
        <v>0</v>
      </c>
      <c r="AF8" s="3">
        <f>SUM(Tabela_ogolne[sem8.ects],Tabela_podst[sem8.ects],Tabela_kier[sem8.ects],Tabela_SP3[sem8.ects], Tabela_do_wyboru[sem8.ects])</f>
        <v>0</v>
      </c>
      <c r="AG8" s="3"/>
      <c r="AH8" s="3">
        <f>SUM(Tabela_ogolne[sem9.godziny],Tabela_podst[sem9.godziny],Tabela_kier[sem9.godziny],Tabela_SP3[sem9.godziny], Tabela_do_wyboru[sem9.godziny])</f>
        <v>0</v>
      </c>
      <c r="AI8" s="3">
        <f>SUM(Tabela_ogolne[sem9.ects],Tabela_podst[sem9.ects],Tabela_kier[sem9.ects],Tabela_SP3[sem9.ects], Tabela_do_wyboru[sem9.ects])</f>
        <v>0</v>
      </c>
      <c r="AJ8" s="3"/>
      <c r="AK8" s="3">
        <f>SUM(Tabela_ogolne[sem10.godziny],Tabela_podst[sem10.godziny],Tabela_kier[sem10.godziny],Tabela_SP3[sem10.godziny], Tabela_do_wyboru[sem10.godziny])</f>
        <v>0</v>
      </c>
      <c r="AL8" s="3">
        <f>SUM(Tabela_ogolne[sem10.ects],Tabela_podst[sem10.ects],Tabela_kier[sem10.ects],Tabela_SP3[sem10.ects], Tabela_do_wyboru[sem10.ects])</f>
        <v>0</v>
      </c>
      <c r="AM8" s="3"/>
      <c r="AN8" s="3">
        <f>SUM(Tabela_ogolne[ects.razem],Tabela_podst[ects.razem],Tabela_kier[ects.razem],Tabela_SP3[ects.razem], Tabela_do_wyboru[ects.razem])</f>
        <v>180</v>
      </c>
      <c r="AO8" s="3">
        <f>SUM(Tabela_ogolne[ects.umiej.prakt.],Tabela_podst[ects.umiej.prakt.],Tabela_kier[ects.umiej.prakt.],Tabela_SP3[ects.umiej.prakt.], Tabela_do_wyboru[ects.umiej.prakt.])</f>
        <v>134</v>
      </c>
      <c r="AP8" s="3">
        <f>SUM(Tabela_ogolne[ects.bezposr.nauczyciel],Tabela_podst[ects.bezposr.nauczyciel],Tabela_kier[ects.bezposr.nauczyciel],Tabela_SP3[ects.bezposr.nauczyciel], Tabela_do_wyboru[ects.bezposr.nauczyciel])</f>
        <v>115</v>
      </c>
      <c r="AQ8" s="3">
        <f>SUM(Tabela_ogolne[godziny.razem.student],Tabela_podst[godziny.razem.student],Tabela_kier[godziny.razem.student],Tabela_SP3[godziny.razem.student], Tabela_do_wyboru[godziny.razem.student])</f>
        <v>4584</v>
      </c>
      <c r="AR8" s="3">
        <f>SUM(Tabela_ogolne[godziny.samoksztalcenie],Tabela_podst[godziny.samoksztalcenie],Tabela_kier[godziny.samoksztalcenie],Tabela_SP3[godziny.samoksztalcenie], Tabela_do_wyboru[godziny.samoksztalcenie])</f>
        <v>1515</v>
      </c>
      <c r="AS8" s="3">
        <f>SUM(Tabela_ogolne[godziny.konsultacja],Tabela_podst[godziny.konsultacja],Tabela_kier[godziny.konsultacja],Tabela_SP3[godziny.konsultacja], Tabela_do_wyboru[godziny.konsultacja])</f>
        <v>254</v>
      </c>
      <c r="AT8" s="3">
        <f>SUM(Tabela_ogolne[godziny.egzamin],Tabela_podst[godziny.egzamin],Tabela_kier[godziny.egzamin],Tabela_SP3[godziny.egzamin], Tabela_do_wyboru[godziny.egzamin])</f>
        <v>142</v>
      </c>
      <c r="AU8" s="3">
        <f>SUM(Tabela_ogolne[godziny.zajec.razem],Tabela_podst[godziny.zajec.razem],Tabela_kier[godziny.zajec.razem],Tabela_SP3[godziny.zajec.razem], Tabela_do_wyboru[godziny.zajec.razem])</f>
        <v>2673</v>
      </c>
      <c r="AV8" s="76">
        <f>IF(AP8,AP8/AN8,"")</f>
        <v>0.63888888888888884</v>
      </c>
      <c r="AW8" s="49"/>
    </row>
    <row r="9" spans="1:49" ht="34.5" hidden="1" customHeight="1" x14ac:dyDescent="0.3">
      <c r="A9" s="207"/>
      <c r="B9" s="2"/>
      <c r="C9" s="3"/>
      <c r="D9" s="3"/>
      <c r="E9" s="3"/>
      <c r="F9" s="676" t="s">
        <v>437</v>
      </c>
      <c r="G9" s="5"/>
      <c r="H9" s="3"/>
      <c r="I9" s="3"/>
      <c r="J9" s="3">
        <f>SUM(Tabela_ogolne[sem1.godziny],Tabela_podst[sem1.godziny],Tabela_kier[sem1.godziny],Tabela_SP4[sem1.godziny], Tabela_do_wyboru[sem1.godziny])</f>
        <v>330</v>
      </c>
      <c r="K9" s="3">
        <f>SUM(Tabela_ogolne[sem1.ects],Tabela_podst[sem1.ects],Tabela_kier[sem1.ects],Tabela_SP4[sem1.ects], Tabela_do_wyboru[sem1.ects])</f>
        <v>28</v>
      </c>
      <c r="L9" s="3"/>
      <c r="M9" s="3">
        <f>SUM(Tabela_ogolne[sem2.godziny],Tabela_podst[sem2.godziny],Tabela_kier[sem2.godziny],Tabela_SP4[sem2.godziny], Tabela_do_wyboru[sem2.godziny])</f>
        <v>470</v>
      </c>
      <c r="N9" s="3">
        <f>SUM(Tabela_ogolne[sem2.ects],Tabela_podst[sem2.ects],Tabela_kier[sem2.ects],Tabela_SP4[sem2.ects], Tabela_do_wyboru[sem2.ects])</f>
        <v>29</v>
      </c>
      <c r="O9" s="3"/>
      <c r="P9" s="3">
        <f>SUM(Tabela_ogolne[sem3.godziny],Tabela_podst[sem3.godziny],Tabela_kier[sem3.godziny],Tabela_SP4[sem3.godziny], Tabela_do_wyboru[sem3.godziny])</f>
        <v>455</v>
      </c>
      <c r="Q9" s="3">
        <f>SUM(Tabela_ogolne[sem3.ects],Tabela_podst[sem3.ects],Tabela_kier[sem3.ects],Tabela_SP4[sem3.ects], Tabela_do_wyboru[sem3.ects])</f>
        <v>29</v>
      </c>
      <c r="R9" s="3"/>
      <c r="S9" s="3">
        <f>SUM(Tabela_ogolne[sem4.godziny],Tabela_podst[sem4.godziny],Tabela_kier[sem4.godziny],Tabela_SP4[sem4.godziny], Tabela_do_wyboru[sem4.godziny])</f>
        <v>165</v>
      </c>
      <c r="T9" s="3">
        <f>SUM(Tabela_ogolne[sem4.ects],Tabela_podst[sem4.ects],Tabela_kier[sem4.ects],Tabela_SP4[sem4.ects], Tabela_do_wyboru[sem4.ects])</f>
        <v>15</v>
      </c>
      <c r="U9" s="3"/>
      <c r="V9" s="3">
        <f>SUM(Tabela_ogolne[sem5.godziny],Tabela_podst[sem5.godziny],Tabela_kier[sem5.godziny],Tabela_SP4[sem5.godziny], Tabela_do_wyboru[sem5.godziny])</f>
        <v>150</v>
      </c>
      <c r="W9" s="3">
        <f>SUM(Tabela_ogolne[sem5.ects],Tabela_podst[sem5.ects],Tabela_kier[sem5.ects],Tabela_SP4[sem5.ects], Tabela_do_wyboru[sem5.ects])</f>
        <v>12</v>
      </c>
      <c r="X9" s="3"/>
      <c r="Y9" s="3">
        <f>SUM(Tabela_ogolne[sem6.godziny],Tabela_podst[sem6.godziny],Tabela_kier[sem6.godziny],Tabela_SP4[sem6.godziny], Tabela_do_wyboru[sem6.godziny])</f>
        <v>120</v>
      </c>
      <c r="Z9" s="3">
        <f>SUM(Tabela_ogolne[sem6.ects],Tabela_podst[sem6.ects],Tabela_kier[sem6.ects],Tabela_SP4[sem6.ects], Tabela_do_wyboru[sem6.ects])</f>
        <v>11</v>
      </c>
      <c r="AA9" s="3"/>
      <c r="AB9" s="3">
        <f>SUM(Tabela_ogolne[sem7.godziny],Tabela_podst[sem7.godziny],Tabela_kier[sem7.godziny],Tabela_SP4[sem7.godziny], Tabela_do_wyboru[sem7.godziny])</f>
        <v>0</v>
      </c>
      <c r="AC9" s="3">
        <f>SUM(Tabela_ogolne[sem7.ects],Tabela_podst[sem7.ects],Tabela_kier[sem7.ects],Tabela_SP4[sem7.ects], Tabela_do_wyboru[sem7.ects])</f>
        <v>0</v>
      </c>
      <c r="AD9" s="3"/>
      <c r="AE9" s="3">
        <f>SUM(Tabela_ogolne[sem8.godziny],Tabela_podst[sem8.godziny],Tabela_kier[sem8.godziny],Tabela_SP4[sem8.godziny], Tabela_do_wyboru[sem8.godziny])</f>
        <v>0</v>
      </c>
      <c r="AF9" s="3">
        <f>SUM(Tabela_ogolne[sem8.ects],Tabela_podst[sem8.ects],Tabela_kier[sem8.ects],Tabela_SP4[sem8.ects], Tabela_do_wyboru[sem8.ects])</f>
        <v>0</v>
      </c>
      <c r="AG9" s="3"/>
      <c r="AH9" s="3">
        <f>SUM(Tabela_ogolne[sem9.godziny],Tabela_podst[sem9.godziny],Tabela_kier[sem9.godziny],Tabela_SP4[sem9.godziny], Tabela_do_wyboru[sem9.godziny])</f>
        <v>0</v>
      </c>
      <c r="AI9" s="3">
        <f>SUM(Tabela_ogolne[sem9.ects],Tabela_podst[sem9.ects],Tabela_kier[sem9.ects],Tabela_SP4[sem9.ects], Tabela_do_wyboru[sem9.ects])</f>
        <v>0</v>
      </c>
      <c r="AJ9" s="3"/>
      <c r="AK9" s="3">
        <f>SUM(Tabela_ogolne[sem10.godziny],Tabela_podst[sem10.godziny],Tabela_kier[sem10.godziny],Tabela_SP4[sem10.godziny], Tabela_do_wyboru[sem10.godziny])</f>
        <v>0</v>
      </c>
      <c r="AL9" s="3">
        <f>SUM(Tabela_ogolne[sem10.ects],Tabela_podst[sem10.ects],Tabela_kier[sem10.ects],Tabela_SP4[sem10.ects], Tabela_do_wyboru[sem10.ects])</f>
        <v>0</v>
      </c>
      <c r="AM9" s="3"/>
      <c r="AN9" s="3">
        <f>SUM(Tabela_ogolne[ects.razem],Tabela_podst[ects.razem],Tabela_kier[ects.razem],Tabela_SP4[ects.razem], Tabela_do_wyboru[ects.razem])</f>
        <v>124</v>
      </c>
      <c r="AO9" s="3">
        <f>SUM(Tabela_ogolne[ects.umiej.prakt.],Tabela_podst[ects.umiej.prakt.],Tabela_kier[ects.umiej.prakt.],Tabela_SP4[ects.umiej.prakt.], Tabela_do_wyboru[ects.umiej.prakt.])</f>
        <v>78</v>
      </c>
      <c r="AP9" s="3">
        <f>SUM(Tabela_ogolne[ects.bezposr.nauczyciel],Tabela_podst[ects.bezposr.nauczyciel],Tabela_kier[ects.bezposr.nauczyciel],Tabela_SP4[ects.bezposr.nauczyciel], Tabela_do_wyboru[ects.bezposr.nauczyciel])</f>
        <v>72</v>
      </c>
      <c r="AQ9" s="3">
        <f>SUM(Tabela_ogolne[godziny.razem.student],Tabela_podst[godziny.razem.student],Tabela_kier[godziny.razem.student],Tabela_SP4[godziny.razem.student], Tabela_do_wyboru[godziny.razem.student])</f>
        <v>2922</v>
      </c>
      <c r="AR9" s="3">
        <f>SUM(Tabela_ogolne[godziny.samoksztalcenie],Tabela_podst[godziny.samoksztalcenie],Tabela_kier[godziny.samoksztalcenie],Tabela_SP4[godziny.samoksztalcenie], Tabela_do_wyboru[godziny.samoksztalcenie])</f>
        <v>964</v>
      </c>
      <c r="AS9" s="3">
        <f>SUM(Tabela_ogolne[godziny.konsultacja],Tabela_podst[godziny.konsultacja],Tabela_kier[godziny.konsultacja],Tabela_SP4[godziny.konsultacja], Tabela_do_wyboru[godziny.konsultacja])</f>
        <v>158</v>
      </c>
      <c r="AT9" s="3">
        <f>SUM(Tabela_ogolne[godziny.egzamin],Tabela_podst[godziny.egzamin],Tabela_kier[godziny.egzamin],Tabela_SP4[godziny.egzamin], Tabela_do_wyboru[godziny.egzamin])</f>
        <v>110</v>
      </c>
      <c r="AU9" s="3">
        <f>SUM(Tabela_ogolne[godziny.zajec.razem],Tabela_podst[godziny.zajec.razem],Tabela_kier[godziny.zajec.razem],Tabela_SP4[godziny.zajec.razem], Tabela_do_wyboru[godziny.zajec.razem])</f>
        <v>1690</v>
      </c>
      <c r="AV9" s="76">
        <f>IF(AP9,AP9/AN9,"")</f>
        <v>0.58064516129032262</v>
      </c>
      <c r="AW9" s="49"/>
    </row>
    <row r="10" spans="1:49" ht="34.5" hidden="1" customHeight="1" x14ac:dyDescent="0.3">
      <c r="A10" s="207"/>
      <c r="B10" s="2"/>
      <c r="C10" s="3"/>
      <c r="D10" s="3"/>
      <c r="E10" s="3"/>
      <c r="F10" s="676" t="s">
        <v>438</v>
      </c>
      <c r="G10" s="5"/>
      <c r="H10" s="3"/>
      <c r="I10" s="3"/>
      <c r="J10" s="3">
        <f>SUM(Tabela_ogolne[sem1.godziny],Tabela_podst[sem1.godziny],Tabela_kier[sem1.godziny],Tabela_SP5[sem1.godziny], Tabela_do_wyboru[sem1.godziny])</f>
        <v>330</v>
      </c>
      <c r="K10" s="3">
        <f>SUM(Tabela_ogolne[sem1.ects],Tabela_podst[sem1.ects],Tabela_kier[sem1.ects],Tabela_SP5[sem1.ects], Tabela_do_wyboru[sem1.ects])</f>
        <v>28</v>
      </c>
      <c r="L10" s="3"/>
      <c r="M10" s="3">
        <f>SUM(Tabela_ogolne[sem2.godziny],Tabela_podst[sem2.godziny],Tabela_kier[sem2.godziny],Tabela_SP5[sem2.godziny], Tabela_do_wyboru[sem2.godziny])</f>
        <v>470</v>
      </c>
      <c r="N10" s="3">
        <f>SUM(Tabela_ogolne[sem2.ects],Tabela_podst[sem2.ects],Tabela_kier[sem2.ects],Tabela_SP5[sem2.ects], Tabela_do_wyboru[sem2.ects])</f>
        <v>29</v>
      </c>
      <c r="O10" s="3"/>
      <c r="P10" s="3">
        <f>SUM(Tabela_ogolne[sem3.godziny],Tabela_podst[sem3.godziny],Tabela_kier[sem3.godziny],Tabela_SP5[sem3.godziny], Tabela_do_wyboru[sem3.godziny])</f>
        <v>455</v>
      </c>
      <c r="Q10" s="3">
        <f>SUM(Tabela_ogolne[sem3.ects],Tabela_podst[sem3.ects],Tabela_kier[sem3.ects],Tabela_SP5[sem3.ects], Tabela_do_wyboru[sem3.ects])</f>
        <v>29</v>
      </c>
      <c r="R10" s="3"/>
      <c r="S10" s="3">
        <f>SUM(Tabela_ogolne[sem4.godziny],Tabela_podst[sem4.godziny],Tabela_kier[sem4.godziny],Tabela_SP5[sem4.godziny], Tabela_do_wyboru[sem4.godziny])</f>
        <v>165</v>
      </c>
      <c r="T10" s="3">
        <f>SUM(Tabela_ogolne[sem4.ects],Tabela_podst[sem4.ects],Tabela_kier[sem4.ects],Tabela_SP5[sem4.ects], Tabela_do_wyboru[sem4.ects])</f>
        <v>15</v>
      </c>
      <c r="U10" s="3"/>
      <c r="V10" s="3">
        <f>SUM(Tabela_ogolne[sem5.godziny],Tabela_podst[sem5.godziny],Tabela_kier[sem5.godziny],Tabela_SP5[sem5.godziny], Tabela_do_wyboru[sem5.godziny])</f>
        <v>150</v>
      </c>
      <c r="W10" s="3">
        <f>SUM(Tabela_ogolne[sem5.ects],Tabela_podst[sem5.ects],Tabela_kier[sem5.ects],Tabela_SP5[sem5.ects], Tabela_do_wyboru[sem5.ects])</f>
        <v>12</v>
      </c>
      <c r="X10" s="3"/>
      <c r="Y10" s="3">
        <f>SUM(Tabela_ogolne[sem6.godziny],Tabela_podst[sem6.godziny],Tabela_kier[sem6.godziny],Tabela_SP5[sem6.godziny], Tabela_do_wyboru[sem6.godziny])</f>
        <v>120</v>
      </c>
      <c r="Z10" s="3">
        <f>SUM(Tabela_ogolne[sem6.ects],Tabela_podst[sem6.ects],Tabela_kier[sem6.ects],Tabela_SP5[sem6.ects], Tabela_do_wyboru[sem6.ects])</f>
        <v>11</v>
      </c>
      <c r="AA10" s="3"/>
      <c r="AB10" s="3">
        <f>SUM(Tabela_ogolne[sem7.godziny],Tabela_podst[sem7.godziny],Tabela_kier[sem7.godziny],Tabela_SP5[sem7.godziny], Tabela_do_wyboru[sem7.godziny])</f>
        <v>0</v>
      </c>
      <c r="AC10" s="3">
        <f>SUM(Tabela_ogolne[sem7.ects],Tabela_podst[sem7.ects],Tabela_kier[sem7.ects],Tabela_SP5[sem7.ects], Tabela_do_wyboru[sem7.ects])</f>
        <v>0</v>
      </c>
      <c r="AD10" s="3"/>
      <c r="AE10" s="3">
        <f>SUM(Tabela_ogolne[sem8.godziny],Tabela_podst[sem8.godziny],Tabela_kier[sem8.godziny],Tabela_SP5[sem8.godziny], Tabela_do_wyboru[sem8.godziny])</f>
        <v>0</v>
      </c>
      <c r="AF10" s="3">
        <f>SUM(Tabela_ogolne[sem8.ects],Tabela_podst[sem8.ects],Tabela_kier[sem8.ects],Tabela_SP5[sem8.ects], Tabela_do_wyboru[sem8.ects])</f>
        <v>0</v>
      </c>
      <c r="AG10" s="3"/>
      <c r="AH10" s="3">
        <f>SUM(Tabela_ogolne[sem9.godziny],Tabela_podst[sem9.godziny],Tabela_kier[sem9.godziny],Tabela_SP5[sem9.godziny], Tabela_do_wyboru[sem9.godziny])</f>
        <v>0</v>
      </c>
      <c r="AI10" s="3">
        <f>SUM(Tabela_ogolne[sem9.ects],Tabela_podst[sem9.ects],Tabela_kier[sem9.ects],Tabela_SP5[sem9.ects], Tabela_do_wyboru[sem9.ects])</f>
        <v>0</v>
      </c>
      <c r="AJ10" s="3"/>
      <c r="AK10" s="3">
        <f>SUM(Tabela_ogolne[sem10.godziny],Tabela_podst[sem10.godziny],Tabela_kier[sem10.godziny],Tabela_SP5[sem10.godziny], Tabela_do_wyboru[sem10.godziny])</f>
        <v>0</v>
      </c>
      <c r="AL10" s="3">
        <f>SUM(Tabela_ogolne[sem10.ects],Tabela_podst[sem10.ects],Tabela_kier[sem10.ects],Tabela_SP5[sem10.ects], Tabela_do_wyboru[sem10.ects])</f>
        <v>0</v>
      </c>
      <c r="AM10" s="3"/>
      <c r="AN10" s="3">
        <f>SUM(Tabela_ogolne[ects.razem],Tabela_podst[ects.razem],Tabela_kier[ects.razem],Tabela_SP5[ects.razem], Tabela_do_wyboru[ects.razem])</f>
        <v>124</v>
      </c>
      <c r="AO10" s="3">
        <f>SUM(Tabela_ogolne[ects.umiej.prakt.],Tabela_podst[ects.umiej.prakt.],Tabela_kier[ects.umiej.prakt.],Tabela_SP5[ects.umiej.prakt.], Tabela_do_wyboru[ects.umiej.prakt.])</f>
        <v>78</v>
      </c>
      <c r="AP10" s="3">
        <f>SUM(Tabela_ogolne[ects.bezposr.nauczyciel],Tabela_podst[ects.bezposr.nauczyciel],Tabela_kier[ects.bezposr.nauczyciel],Tabela_SP5[ects.bezposr.nauczyciel], Tabela_do_wyboru[ects.bezposr.nauczyciel])</f>
        <v>72</v>
      </c>
      <c r="AQ10" s="3">
        <f>SUM(Tabela_ogolne[godziny.razem.student],Tabela_podst[godziny.razem.student],Tabela_kier[godziny.razem.student],Tabela_SP5[godziny.razem.student], Tabela_do_wyboru[godziny.razem.student])</f>
        <v>2922</v>
      </c>
      <c r="AR10" s="3">
        <f>SUM(Tabela_ogolne[godziny.samoksztalcenie],Tabela_podst[godziny.samoksztalcenie],Tabela_kier[godziny.samoksztalcenie],Tabela_SP5[godziny.samoksztalcenie], Tabela_do_wyboru[godziny.samoksztalcenie])</f>
        <v>964</v>
      </c>
      <c r="AS10" s="3">
        <f>SUM(Tabela_ogolne[godziny.konsultacja],Tabela_podst[godziny.konsultacja],Tabela_kier[godziny.konsultacja],Tabela_SP5[godziny.konsultacja], Tabela_do_wyboru[godziny.konsultacja])</f>
        <v>158</v>
      </c>
      <c r="AT10" s="3">
        <f>SUM(Tabela_ogolne[godziny.egzamin],Tabela_podst[godziny.egzamin],Tabela_kier[godziny.egzamin],Tabela_SP5[godziny.egzamin], Tabela_do_wyboru[godziny.egzamin])</f>
        <v>110</v>
      </c>
      <c r="AU10" s="3">
        <f>SUM(Tabela_ogolne[godziny.zajec.razem],Tabela_podst[godziny.zajec.razem],Tabela_kier[godziny.zajec.razem],Tabela_SP5[godziny.zajec.razem], Tabela_do_wyboru[godziny.zajec.razem])</f>
        <v>1690</v>
      </c>
      <c r="AV10" s="76">
        <f>IF(AP10,AP10/AN10,"")</f>
        <v>0.58064516129032262</v>
      </c>
      <c r="AW10" s="49"/>
    </row>
    <row r="11" spans="1:49" ht="7.5" customHeight="1" thickBot="1" x14ac:dyDescent="0.35">
      <c r="A11" s="207"/>
      <c r="B11" s="350"/>
      <c r="C11" s="351"/>
      <c r="D11" s="351"/>
      <c r="E11" s="351"/>
      <c r="F11" s="352"/>
      <c r="G11" s="352"/>
      <c r="H11" s="351"/>
      <c r="I11" s="351"/>
      <c r="J11" s="351"/>
      <c r="K11" s="353"/>
      <c r="L11" s="351"/>
      <c r="M11" s="351"/>
      <c r="N11" s="353"/>
      <c r="O11" s="351"/>
      <c r="P11" s="351"/>
      <c r="Q11" s="353"/>
      <c r="R11" s="351"/>
      <c r="S11" s="351"/>
      <c r="T11" s="351"/>
      <c r="U11" s="351"/>
      <c r="V11" s="351"/>
      <c r="W11" s="351"/>
      <c r="X11" s="351"/>
      <c r="Y11" s="351"/>
      <c r="Z11" s="351"/>
      <c r="AA11" s="351"/>
      <c r="AB11" s="351"/>
      <c r="AC11" s="351"/>
      <c r="AD11" s="351"/>
      <c r="AE11" s="351"/>
      <c r="AF11" s="351"/>
      <c r="AG11" s="351"/>
      <c r="AH11" s="351"/>
      <c r="AI11" s="351"/>
      <c r="AJ11" s="351"/>
      <c r="AK11" s="351"/>
      <c r="AL11" s="351"/>
      <c r="AM11" s="351"/>
      <c r="AN11" s="351"/>
      <c r="AO11" s="351"/>
      <c r="AP11" s="351"/>
      <c r="AQ11" s="351"/>
      <c r="AR11" s="351"/>
      <c r="AS11" s="351"/>
      <c r="AT11" s="351"/>
      <c r="AU11" s="351"/>
      <c r="AV11" s="351"/>
      <c r="AW11" s="49"/>
    </row>
    <row r="12" spans="1:49" ht="25.5" customHeight="1" thickBot="1" x14ac:dyDescent="0.35">
      <c r="A12" s="207"/>
      <c r="B12" s="762" t="s">
        <v>430</v>
      </c>
      <c r="C12" s="771"/>
      <c r="D12" s="771"/>
      <c r="E12" s="771"/>
      <c r="F12" s="771"/>
      <c r="G12" s="771"/>
      <c r="H12" s="771"/>
      <c r="I12" s="771"/>
      <c r="J12" s="771"/>
      <c r="K12" s="771"/>
      <c r="L12" s="771"/>
      <c r="M12" s="771"/>
      <c r="N12" s="771"/>
      <c r="O12" s="771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456"/>
      <c r="AJ12" s="456"/>
      <c r="AK12" s="456"/>
      <c r="AL12" s="456"/>
      <c r="AM12" s="456"/>
      <c r="AN12" s="456"/>
      <c r="AO12" s="456"/>
      <c r="AP12" s="456"/>
      <c r="AQ12" s="456"/>
      <c r="AR12" s="456"/>
      <c r="AS12" s="456"/>
      <c r="AT12" s="456"/>
      <c r="AU12" s="456"/>
      <c r="AV12" s="457"/>
      <c r="AW12" s="49"/>
    </row>
    <row r="13" spans="1:49" ht="7.5" customHeight="1" thickBot="1" x14ac:dyDescent="0.35">
      <c r="A13" s="207"/>
      <c r="B13" s="458"/>
      <c r="C13" s="459"/>
      <c r="D13" s="459"/>
      <c r="E13" s="459"/>
      <c r="F13" s="460"/>
      <c r="G13" s="460"/>
      <c r="H13" s="459"/>
      <c r="I13" s="459"/>
      <c r="J13" s="459"/>
      <c r="K13" s="461"/>
      <c r="L13" s="459"/>
      <c r="M13" s="459"/>
      <c r="N13" s="461"/>
      <c r="O13" s="459"/>
      <c r="P13" s="459"/>
      <c r="Q13" s="461"/>
      <c r="R13" s="459"/>
      <c r="S13" s="459"/>
      <c r="T13" s="459"/>
      <c r="U13" s="459"/>
      <c r="V13" s="459"/>
      <c r="W13" s="459"/>
      <c r="X13" s="459"/>
      <c r="Y13" s="459"/>
      <c r="Z13" s="459"/>
      <c r="AA13" s="459"/>
      <c r="AB13" s="459"/>
      <c r="AC13" s="459"/>
      <c r="AD13" s="459"/>
      <c r="AE13" s="459"/>
      <c r="AF13" s="459"/>
      <c r="AG13" s="459"/>
      <c r="AH13" s="459"/>
      <c r="AI13" s="459"/>
      <c r="AJ13" s="459"/>
      <c r="AK13" s="459"/>
      <c r="AL13" s="459"/>
      <c r="AM13" s="459"/>
      <c r="AN13" s="459"/>
      <c r="AO13" s="459"/>
      <c r="AP13" s="459"/>
      <c r="AQ13" s="459"/>
      <c r="AR13" s="459"/>
      <c r="AS13" s="459"/>
      <c r="AT13" s="459"/>
      <c r="AU13" s="459"/>
      <c r="AV13" s="459"/>
      <c r="AW13" s="49"/>
    </row>
    <row r="14" spans="1:49" ht="19.5" customHeight="1" thickBot="1" x14ac:dyDescent="0.35">
      <c r="A14" s="207"/>
      <c r="B14" s="772" t="s">
        <v>426</v>
      </c>
      <c r="C14" s="773"/>
      <c r="D14" s="773"/>
      <c r="E14" s="773"/>
      <c r="F14" s="773"/>
      <c r="G14" s="773"/>
      <c r="H14" s="462"/>
      <c r="I14" s="462"/>
      <c r="J14" s="462"/>
      <c r="K14" s="462"/>
      <c r="L14" s="462"/>
      <c r="M14" s="462"/>
      <c r="N14" s="462"/>
      <c r="O14" s="462"/>
      <c r="P14" s="462"/>
      <c r="Q14" s="462"/>
      <c r="R14" s="462"/>
      <c r="S14" s="462"/>
      <c r="T14" s="462"/>
      <c r="U14" s="462"/>
      <c r="V14" s="462"/>
      <c r="W14" s="462"/>
      <c r="X14" s="462"/>
      <c r="Y14" s="462"/>
      <c r="Z14" s="462"/>
      <c r="AA14" s="462"/>
      <c r="AB14" s="462"/>
      <c r="AC14" s="462"/>
      <c r="AD14" s="462"/>
      <c r="AE14" s="462"/>
      <c r="AF14" s="462"/>
      <c r="AG14" s="462"/>
      <c r="AH14" s="462"/>
      <c r="AI14" s="462"/>
      <c r="AJ14" s="462"/>
      <c r="AK14" s="462"/>
      <c r="AL14" s="462"/>
      <c r="AM14" s="462"/>
      <c r="AN14" s="462"/>
      <c r="AO14" s="462"/>
      <c r="AP14" s="462"/>
      <c r="AQ14" s="462"/>
      <c r="AR14" s="462"/>
      <c r="AS14" s="462"/>
      <c r="AT14" s="462"/>
      <c r="AU14" s="462"/>
      <c r="AV14" s="463"/>
      <c r="AW14" s="49"/>
    </row>
    <row r="15" spans="1:49" ht="25.5" customHeight="1" thickBot="1" x14ac:dyDescent="0.35">
      <c r="A15" s="207"/>
      <c r="B15" s="766" t="s">
        <v>427</v>
      </c>
      <c r="C15" s="767"/>
      <c r="D15" s="767"/>
      <c r="E15" s="767"/>
      <c r="F15" s="767"/>
      <c r="G15" s="767"/>
      <c r="H15" s="767"/>
      <c r="I15" s="767"/>
      <c r="J15" s="464">
        <f>SUM(Tabela_ogolne[sem1.godziny])</f>
        <v>60</v>
      </c>
      <c r="K15" s="464">
        <f>SUM(Tabela_ogolne[sem1.ects])</f>
        <v>3</v>
      </c>
      <c r="L15" s="464"/>
      <c r="M15" s="464">
        <f>SUM(Tabela_ogolne[sem2.godziny])</f>
        <v>60</v>
      </c>
      <c r="N15" s="464">
        <f>SUM(Tabela_ogolne[sem2.ects])</f>
        <v>3</v>
      </c>
      <c r="O15" s="464"/>
      <c r="P15" s="464">
        <f>SUM(Tabela_ogolne[sem3.godziny])</f>
        <v>60</v>
      </c>
      <c r="Q15" s="464">
        <f>SUM(Tabela_ogolne[sem3.ects])</f>
        <v>3</v>
      </c>
      <c r="R15" s="464"/>
      <c r="S15" s="464">
        <f>SUM(Tabela_ogolne[sem4.godziny])</f>
        <v>30</v>
      </c>
      <c r="T15" s="464">
        <f>SUM(Tabela_ogolne[sem4.ects])</f>
        <v>3</v>
      </c>
      <c r="U15" s="464"/>
      <c r="V15" s="464">
        <f>SUM(Tabela_ogolne[sem5.godziny])</f>
        <v>30</v>
      </c>
      <c r="W15" s="464">
        <f>SUM(Tabela_ogolne[sem5.ects])</f>
        <v>2</v>
      </c>
      <c r="X15" s="464"/>
      <c r="Y15" s="464">
        <f>SUM(Tabela_ogolne[sem6.godziny])</f>
        <v>0</v>
      </c>
      <c r="Z15" s="464">
        <f>SUM(Tabela_ogolne[sem6.ects])</f>
        <v>0</v>
      </c>
      <c r="AA15" s="464"/>
      <c r="AB15" s="464">
        <f>SUM(Tabela_ogolne[sem7.godziny])</f>
        <v>0</v>
      </c>
      <c r="AC15" s="464">
        <f>SUM(Tabela_ogolne[sem7.ects])</f>
        <v>0</v>
      </c>
      <c r="AD15" s="464"/>
      <c r="AE15" s="464">
        <f>SUM(Tabela_ogolne[sem8.godziny])</f>
        <v>0</v>
      </c>
      <c r="AF15" s="464">
        <f>SUM(Tabela_ogolne[sem8.ects])</f>
        <v>0</v>
      </c>
      <c r="AG15" s="464"/>
      <c r="AH15" s="464">
        <f>SUM(Tabela_ogolne[sem9.godziny])</f>
        <v>0</v>
      </c>
      <c r="AI15" s="464">
        <f>SUM(Tabela_ogolne[sem9.ects])</f>
        <v>0</v>
      </c>
      <c r="AJ15" s="464"/>
      <c r="AK15" s="464">
        <f>SUM(Tabela_ogolne[sem10.godziny])</f>
        <v>0</v>
      </c>
      <c r="AL15" s="464">
        <f>SUM(Tabela_ogolne[sem10.ects])</f>
        <v>0</v>
      </c>
      <c r="AM15" s="464"/>
      <c r="AN15" s="464">
        <f>SUM(Tabela_ogolne[ects.razem])</f>
        <v>14</v>
      </c>
      <c r="AO15" s="464">
        <f>SUM(Tabela_ogolne[ects.umiej.prakt.])</f>
        <v>13</v>
      </c>
      <c r="AP15" s="464">
        <f>SUM(Tabela_ogolne[ects.bezposr.nauczyciel])</f>
        <v>7</v>
      </c>
      <c r="AQ15" s="464">
        <f>SUM(Tabela_ogolne[godziny.razem.student])</f>
        <v>420</v>
      </c>
      <c r="AR15" s="464">
        <f>SUM(Tabela_ogolne[godziny.samoksztalcenie])</f>
        <v>139</v>
      </c>
      <c r="AS15" s="464">
        <f>SUM(Tabela_ogolne[godziny.konsultacja])</f>
        <v>21</v>
      </c>
      <c r="AT15" s="464">
        <f>SUM(Tabela_ogolne[godziny.egzamin])</f>
        <v>20</v>
      </c>
      <c r="AU15" s="464">
        <f>SUM(Tabela_ogolne[godziny.zajec.razem])</f>
        <v>240</v>
      </c>
      <c r="AV15" s="465"/>
      <c r="AW15" s="49"/>
    </row>
    <row r="16" spans="1:49" ht="25.5" hidden="1" customHeight="1" x14ac:dyDescent="0.3">
      <c r="A16" s="207"/>
      <c r="B16" s="466" t="s">
        <v>374</v>
      </c>
      <c r="C16" s="467" t="s">
        <v>373</v>
      </c>
      <c r="D16" s="467" t="s">
        <v>372</v>
      </c>
      <c r="E16" s="467" t="s">
        <v>371</v>
      </c>
      <c r="F16" s="468" t="s">
        <v>368</v>
      </c>
      <c r="G16" s="469" t="s">
        <v>369</v>
      </c>
      <c r="H16" s="470" t="s">
        <v>370</v>
      </c>
      <c r="I16" s="471" t="s">
        <v>375</v>
      </c>
      <c r="J16" s="472" t="s">
        <v>376</v>
      </c>
      <c r="K16" s="473" t="s">
        <v>377</v>
      </c>
      <c r="L16" s="472" t="s">
        <v>378</v>
      </c>
      <c r="M16" s="474" t="s">
        <v>379</v>
      </c>
      <c r="N16" s="475" t="s">
        <v>380</v>
      </c>
      <c r="O16" s="474" t="s">
        <v>381</v>
      </c>
      <c r="P16" s="476" t="s">
        <v>382</v>
      </c>
      <c r="Q16" s="477" t="s">
        <v>383</v>
      </c>
      <c r="R16" s="476" t="s">
        <v>384</v>
      </c>
      <c r="S16" s="478" t="s">
        <v>385</v>
      </c>
      <c r="T16" s="479" t="s">
        <v>386</v>
      </c>
      <c r="U16" s="478" t="s">
        <v>387</v>
      </c>
      <c r="V16" s="480" t="s">
        <v>388</v>
      </c>
      <c r="W16" s="481" t="s">
        <v>389</v>
      </c>
      <c r="X16" s="480" t="s">
        <v>390</v>
      </c>
      <c r="Y16" s="482" t="s">
        <v>391</v>
      </c>
      <c r="Z16" s="483" t="s">
        <v>392</v>
      </c>
      <c r="AA16" s="482" t="s">
        <v>393</v>
      </c>
      <c r="AB16" s="484" t="s">
        <v>394</v>
      </c>
      <c r="AC16" s="485" t="s">
        <v>395</v>
      </c>
      <c r="AD16" s="484" t="s">
        <v>396</v>
      </c>
      <c r="AE16" s="423" t="s">
        <v>409</v>
      </c>
      <c r="AF16" s="423" t="s">
        <v>410</v>
      </c>
      <c r="AG16" s="423" t="s">
        <v>411</v>
      </c>
      <c r="AH16" s="425" t="s">
        <v>412</v>
      </c>
      <c r="AI16" s="425" t="s">
        <v>413</v>
      </c>
      <c r="AJ16" s="425" t="s">
        <v>414</v>
      </c>
      <c r="AK16" s="427" t="s">
        <v>415</v>
      </c>
      <c r="AL16" s="427" t="s">
        <v>416</v>
      </c>
      <c r="AM16" s="427" t="s">
        <v>417</v>
      </c>
      <c r="AN16" s="486" t="s">
        <v>397</v>
      </c>
      <c r="AO16" s="487" t="s">
        <v>398</v>
      </c>
      <c r="AP16" s="488" t="s">
        <v>399</v>
      </c>
      <c r="AQ16" s="489" t="s">
        <v>400</v>
      </c>
      <c r="AR16" s="490" t="s">
        <v>401</v>
      </c>
      <c r="AS16" s="491" t="s">
        <v>402</v>
      </c>
      <c r="AT16" s="473" t="s">
        <v>403</v>
      </c>
      <c r="AU16" s="492" t="s">
        <v>404</v>
      </c>
      <c r="AV16" s="493" t="s">
        <v>405</v>
      </c>
      <c r="AW16" s="49"/>
    </row>
    <row r="17" spans="1:49" ht="25.5" customHeight="1" x14ac:dyDescent="0.3">
      <c r="A17" s="207"/>
      <c r="B17" s="402" t="s">
        <v>439</v>
      </c>
      <c r="C17" s="403">
        <v>104</v>
      </c>
      <c r="D17" s="403" t="s">
        <v>440</v>
      </c>
      <c r="E17" s="362" t="s">
        <v>604</v>
      </c>
      <c r="F17" s="404" t="s">
        <v>441</v>
      </c>
      <c r="G17" s="405"/>
      <c r="H17" s="406" t="s">
        <v>37</v>
      </c>
      <c r="I17" s="407" t="s">
        <v>32</v>
      </c>
      <c r="J17" s="408">
        <v>15</v>
      </c>
      <c r="K17" s="409" cm="1">
        <f t="array" ref="K17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>1</v>
      </c>
      <c r="L17" s="408" t="s">
        <v>33</v>
      </c>
      <c r="M17" s="410"/>
      <c r="N17" s="411" t="str" cm="1">
        <f t="array" ref="N17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17" s="410"/>
      <c r="P17" s="412"/>
      <c r="Q17" s="413" t="str" cm="1">
        <f t="array" ref="Q17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17" s="412"/>
      <c r="S17" s="414"/>
      <c r="T17" s="415" t="str" cm="1">
        <f t="array" ref="T17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17" s="414"/>
      <c r="V17" s="416"/>
      <c r="W17" s="417" t="str" cm="1">
        <f t="array" ref="W17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17" s="416"/>
      <c r="Y17" s="418"/>
      <c r="Z17" s="419" t="str" cm="1">
        <f t="array" ref="Z17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17" s="418"/>
      <c r="AB17" s="420"/>
      <c r="AC17" s="421" t="str" cm="1">
        <f t="array" ref="AC17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17" s="420"/>
      <c r="AE17" s="422"/>
      <c r="AF17" s="423" t="str" cm="1">
        <f t="array" ref="AF17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17" s="422"/>
      <c r="AH17" s="424"/>
      <c r="AI17" s="425" t="str" cm="1">
        <f t="array" ref="AI17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17" s="424"/>
      <c r="AK17" s="426"/>
      <c r="AL17" s="427" t="str" cm="1">
        <f t="array" ref="AL17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17" s="426"/>
      <c r="AN17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1</v>
      </c>
      <c r="AO17" s="429">
        <f>IF(ISERR(SEARCH("UP",Tabela_ogolne[[#This Row],[Umiej.prakt.]],1)),0,Tabela_ogolne[[#This Row],[ects.razem]])</f>
        <v>1</v>
      </c>
      <c r="AP17" s="430">
        <f>IF(Tabela_ogolne[[#This Row],[czy.ects]]="TAK",ROUND((SUM(Tabela_ogolne[[#This Row],[godziny.konsultacja]],Tabela_ogolne[[#This Row],[godziny.egzamin]],Tabela_ogolne[[#This Row],[godziny.zajec.razem]])/25)/0.5,0)*0.5,0)</f>
        <v>0.5</v>
      </c>
      <c r="AQ17" s="431">
        <f>SUM(Tabela_ogolne[[#This Row],[godziny.samoksztalcenie]],Tabela_ogolne[[#This Row],[godziny.konsultacja]],Tabela_ogolne[[#This Row],[godziny.egzamin]],Tabela_ogolne[[#This Row],[godziny.zajec.razem]])</f>
        <v>27</v>
      </c>
      <c r="AR17" s="432">
        <f>INT(SUM(Tabela_ogolne[[#This Row],[godziny.konsultacja]],Tabela_ogolne[[#This Row],[godziny.egzamin]],Tabela_ogolne[[#This Row],[godziny.zajec.razem]])*0.5+Tabela_ogolne[[#This Row],[godziny.zajec.razem]]*(15-$G$191)/9)</f>
        <v>9</v>
      </c>
      <c r="AS17" s="433">
        <f>INT(Tabela_ogolne[[#This Row],[godziny.zajec.razem]]*0.1)</f>
        <v>1</v>
      </c>
      <c r="AT17" s="409">
        <f>IF(Tabela_ogolne[[#This Row],[godziny.zajec.razem]]&gt;0,IF(Tabela_ogolne[[#This Row],[godziny.zajec.razem]]&gt;=45,4,2),0)</f>
        <v>2</v>
      </c>
      <c r="AU17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15</v>
      </c>
      <c r="AV17" s="435">
        <f>IF(Tabela_ogolne[[#This Row],[ects.bezposr.nauczyciel]],Tabela_ogolne[[#This Row],[ects.bezposr.nauczyciel]]/Tabela_ogolne[[#This Row],[ects.razem]],0)</f>
        <v>0.5</v>
      </c>
      <c r="AW17" s="49"/>
    </row>
    <row r="18" spans="1:49" ht="25.5" customHeight="1" x14ac:dyDescent="0.3">
      <c r="A18" s="207"/>
      <c r="B18" s="402" t="s">
        <v>439</v>
      </c>
      <c r="C18" s="403">
        <v>506</v>
      </c>
      <c r="D18" s="403" t="s">
        <v>442</v>
      </c>
      <c r="E18" s="362"/>
      <c r="F18" s="404" t="s">
        <v>443</v>
      </c>
      <c r="G18" s="405"/>
      <c r="H18" s="406" t="s">
        <v>37</v>
      </c>
      <c r="I18" s="407" t="s">
        <v>367</v>
      </c>
      <c r="J18" s="408">
        <v>5</v>
      </c>
      <c r="K18" s="409" t="str" cm="1">
        <f t="array" ref="K18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/>
      </c>
      <c r="L18" s="408" t="s">
        <v>35</v>
      </c>
      <c r="M18" s="410"/>
      <c r="N18" s="411" t="str" cm="1">
        <f t="array" ref="N18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18" s="410"/>
      <c r="P18" s="412"/>
      <c r="Q18" s="413" t="str" cm="1">
        <f t="array" ref="Q18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18" s="412"/>
      <c r="S18" s="414"/>
      <c r="T18" s="415" t="str" cm="1">
        <f t="array" ref="T18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18" s="414"/>
      <c r="V18" s="416"/>
      <c r="W18" s="417" t="str" cm="1">
        <f t="array" ref="W18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18" s="416"/>
      <c r="Y18" s="418"/>
      <c r="Z18" s="419" t="str" cm="1">
        <f t="array" ref="Z18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18" s="418"/>
      <c r="AB18" s="420"/>
      <c r="AC18" s="421" t="str" cm="1">
        <f t="array" ref="AC18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18" s="420"/>
      <c r="AE18" s="422"/>
      <c r="AF18" s="423" t="str" cm="1">
        <f t="array" ref="AF18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18" s="422"/>
      <c r="AH18" s="424"/>
      <c r="AI18" s="425" t="str" cm="1">
        <f t="array" ref="AI18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18" s="424"/>
      <c r="AK18" s="426"/>
      <c r="AL18" s="427" t="str" cm="1">
        <f t="array" ref="AL18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18" s="426"/>
      <c r="AN18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0</v>
      </c>
      <c r="AO18" s="429">
        <f>IF(ISERR(SEARCH("UP",Tabela_ogolne[[#This Row],[Umiej.prakt.]],1)),0,Tabela_ogolne[[#This Row],[ects.razem]])</f>
        <v>0</v>
      </c>
      <c r="AP18" s="430">
        <f>IF(Tabela_ogolne[[#This Row],[czy.ects]]="TAK",ROUND((SUM(Tabela_ogolne[[#This Row],[godziny.konsultacja]],Tabela_ogolne[[#This Row],[godziny.egzamin]],Tabela_ogolne[[#This Row],[godziny.zajec.razem]])/25)/0.5,0)*0.5,0)</f>
        <v>0</v>
      </c>
      <c r="AQ18" s="431">
        <f>SUM(Tabela_ogolne[[#This Row],[godziny.samoksztalcenie]],Tabela_ogolne[[#This Row],[godziny.konsultacja]],Tabela_ogolne[[#This Row],[godziny.egzamin]],Tabela_ogolne[[#This Row],[godziny.zajec.razem]])</f>
        <v>10</v>
      </c>
      <c r="AR18" s="432">
        <f>INT(SUM(Tabela_ogolne[[#This Row],[godziny.konsultacja]],Tabela_ogolne[[#This Row],[godziny.egzamin]],Tabela_ogolne[[#This Row],[godziny.zajec.razem]])*0.5+Tabela_ogolne[[#This Row],[godziny.zajec.razem]]*(15-$G$191)/9)</f>
        <v>3</v>
      </c>
      <c r="AS18" s="433">
        <f>INT(Tabela_ogolne[[#This Row],[godziny.zajec.razem]]*0.1)</f>
        <v>0</v>
      </c>
      <c r="AT18" s="409">
        <f>IF(Tabela_ogolne[[#This Row],[godziny.zajec.razem]]&gt;0,IF(Tabela_ogolne[[#This Row],[godziny.zajec.razem]]&gt;=45,4,2),0)</f>
        <v>2</v>
      </c>
      <c r="AU18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5</v>
      </c>
      <c r="AV18" s="435">
        <f>IF(Tabela_ogolne[[#This Row],[ects.bezposr.nauczyciel]],Tabela_ogolne[[#This Row],[ects.bezposr.nauczyciel]]/Tabela_ogolne[[#This Row],[ects.razem]],0)</f>
        <v>0</v>
      </c>
      <c r="AW18" s="49"/>
    </row>
    <row r="19" spans="1:49" ht="25.5" customHeight="1" x14ac:dyDescent="0.3">
      <c r="A19" s="207"/>
      <c r="B19" s="402" t="s">
        <v>444</v>
      </c>
      <c r="C19" s="403">
        <v>203</v>
      </c>
      <c r="D19" s="403" t="s">
        <v>445</v>
      </c>
      <c r="E19" s="362" t="s">
        <v>604</v>
      </c>
      <c r="F19" s="404" t="s">
        <v>446</v>
      </c>
      <c r="G19" s="405"/>
      <c r="H19" s="406" t="s">
        <v>31</v>
      </c>
      <c r="I19" s="407" t="s">
        <v>32</v>
      </c>
      <c r="J19" s="408">
        <v>15</v>
      </c>
      <c r="K19" s="409" cm="1">
        <f t="array" ref="K19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>1</v>
      </c>
      <c r="L19" s="408" t="s">
        <v>33</v>
      </c>
      <c r="M19" s="410"/>
      <c r="N19" s="411" t="str" cm="1">
        <f t="array" ref="N19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19" s="410"/>
      <c r="P19" s="412"/>
      <c r="Q19" s="413" t="str" cm="1">
        <f t="array" ref="Q19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19" s="412"/>
      <c r="S19" s="414"/>
      <c r="T19" s="415" t="str" cm="1">
        <f t="array" ref="T19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19" s="414"/>
      <c r="V19" s="416"/>
      <c r="W19" s="417" t="str" cm="1">
        <f t="array" ref="W19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19" s="416"/>
      <c r="Y19" s="418"/>
      <c r="Z19" s="419" t="str" cm="1">
        <f t="array" ref="Z19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19" s="418"/>
      <c r="AB19" s="420"/>
      <c r="AC19" s="421" t="str" cm="1">
        <f t="array" ref="AC19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19" s="420"/>
      <c r="AE19" s="422"/>
      <c r="AF19" s="423" t="str" cm="1">
        <f t="array" ref="AF19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19" s="422"/>
      <c r="AH19" s="424"/>
      <c r="AI19" s="425" t="str" cm="1">
        <f t="array" ref="AI19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19" s="424"/>
      <c r="AK19" s="426"/>
      <c r="AL19" s="427" t="str" cm="1">
        <f t="array" ref="AL19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19" s="426"/>
      <c r="AN19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1</v>
      </c>
      <c r="AO19" s="429">
        <f>IF(ISERR(SEARCH("UP",Tabela_ogolne[[#This Row],[Umiej.prakt.]],1)),0,Tabela_ogolne[[#This Row],[ects.razem]])</f>
        <v>1</v>
      </c>
      <c r="AP19" s="430">
        <f>IF(Tabela_ogolne[[#This Row],[czy.ects]]="TAK",ROUND((SUM(Tabela_ogolne[[#This Row],[godziny.konsultacja]],Tabela_ogolne[[#This Row],[godziny.egzamin]],Tabela_ogolne[[#This Row],[godziny.zajec.razem]])/25)/0.5,0)*0.5,0)</f>
        <v>0.5</v>
      </c>
      <c r="AQ19" s="431">
        <f>SUM(Tabela_ogolne[[#This Row],[godziny.samoksztalcenie]],Tabela_ogolne[[#This Row],[godziny.konsultacja]],Tabela_ogolne[[#This Row],[godziny.egzamin]],Tabela_ogolne[[#This Row],[godziny.zajec.razem]])</f>
        <v>27</v>
      </c>
      <c r="AR19" s="432">
        <f>INT(SUM(Tabela_ogolne[[#This Row],[godziny.konsultacja]],Tabela_ogolne[[#This Row],[godziny.egzamin]],Tabela_ogolne[[#This Row],[godziny.zajec.razem]])*0.5+Tabela_ogolne[[#This Row],[godziny.zajec.razem]]*(15-$G$191)/9)</f>
        <v>9</v>
      </c>
      <c r="AS19" s="433">
        <f>INT(Tabela_ogolne[[#This Row],[godziny.zajec.razem]]*0.1)</f>
        <v>1</v>
      </c>
      <c r="AT19" s="409">
        <f>IF(Tabela_ogolne[[#This Row],[godziny.zajec.razem]]&gt;0,IF(Tabela_ogolne[[#This Row],[godziny.zajec.razem]]&gt;=45,4,2),0)</f>
        <v>2</v>
      </c>
      <c r="AU19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15</v>
      </c>
      <c r="AV19" s="435">
        <f>IF(Tabela_ogolne[[#This Row],[ects.bezposr.nauczyciel]],Tabela_ogolne[[#This Row],[ects.bezposr.nauczyciel]]/Tabela_ogolne[[#This Row],[ects.razem]],0)</f>
        <v>0.5</v>
      </c>
      <c r="AW19" s="49"/>
    </row>
    <row r="20" spans="1:49" ht="25.5" customHeight="1" x14ac:dyDescent="0.3">
      <c r="A20" s="207"/>
      <c r="B20" s="402" t="s">
        <v>447</v>
      </c>
      <c r="C20" s="403">
        <v>507</v>
      </c>
      <c r="D20" s="403" t="s">
        <v>448</v>
      </c>
      <c r="E20" s="362"/>
      <c r="F20" s="404" t="s">
        <v>449</v>
      </c>
      <c r="G20" s="405"/>
      <c r="H20" s="406" t="s">
        <v>37</v>
      </c>
      <c r="I20" s="407" t="s">
        <v>32</v>
      </c>
      <c r="J20" s="408">
        <v>15</v>
      </c>
      <c r="K20" s="409" cm="1">
        <f t="array" ref="K20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>1</v>
      </c>
      <c r="L20" s="408" t="s">
        <v>33</v>
      </c>
      <c r="M20" s="410"/>
      <c r="N20" s="411" t="str" cm="1">
        <f t="array" ref="N20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20" s="410"/>
      <c r="P20" s="412"/>
      <c r="Q20" s="413" t="str" cm="1">
        <f t="array" ref="Q20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20" s="412"/>
      <c r="S20" s="414"/>
      <c r="T20" s="415" t="str" cm="1">
        <f t="array" ref="T20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20" s="414"/>
      <c r="V20" s="416"/>
      <c r="W20" s="417" t="str" cm="1">
        <f t="array" ref="W20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20" s="416"/>
      <c r="Y20" s="418"/>
      <c r="Z20" s="419" t="str" cm="1">
        <f t="array" ref="Z20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20" s="418"/>
      <c r="AB20" s="420"/>
      <c r="AC20" s="421" t="str" cm="1">
        <f t="array" ref="AC20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20" s="420"/>
      <c r="AE20" s="422"/>
      <c r="AF20" s="423" t="str" cm="1">
        <f t="array" ref="AF20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20" s="422"/>
      <c r="AH20" s="424"/>
      <c r="AI20" s="425" t="str" cm="1">
        <f t="array" ref="AI20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20" s="424"/>
      <c r="AK20" s="426"/>
      <c r="AL20" s="427" t="str" cm="1">
        <f t="array" ref="AL20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20" s="426"/>
      <c r="AN20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1</v>
      </c>
      <c r="AO20" s="429">
        <f>IF(ISERR(SEARCH("UP",Tabela_ogolne[[#This Row],[Umiej.prakt.]],1)),0,Tabela_ogolne[[#This Row],[ects.razem]])</f>
        <v>0</v>
      </c>
      <c r="AP20" s="430">
        <f>IF(Tabela_ogolne[[#This Row],[czy.ects]]="TAK",ROUND((SUM(Tabela_ogolne[[#This Row],[godziny.konsultacja]],Tabela_ogolne[[#This Row],[godziny.egzamin]],Tabela_ogolne[[#This Row],[godziny.zajec.razem]])/25)/0.5,0)*0.5,0)</f>
        <v>0.5</v>
      </c>
      <c r="AQ20" s="431">
        <f>SUM(Tabela_ogolne[[#This Row],[godziny.samoksztalcenie]],Tabela_ogolne[[#This Row],[godziny.konsultacja]],Tabela_ogolne[[#This Row],[godziny.egzamin]],Tabela_ogolne[[#This Row],[godziny.zajec.razem]])</f>
        <v>27</v>
      </c>
      <c r="AR20" s="432">
        <f>INT(SUM(Tabela_ogolne[[#This Row],[godziny.konsultacja]],Tabela_ogolne[[#This Row],[godziny.egzamin]],Tabela_ogolne[[#This Row],[godziny.zajec.razem]])*0.5+Tabela_ogolne[[#This Row],[godziny.zajec.razem]]*(15-$G$191)/9)</f>
        <v>9</v>
      </c>
      <c r="AS20" s="433">
        <f>INT(Tabela_ogolne[[#This Row],[godziny.zajec.razem]]*0.1)</f>
        <v>1</v>
      </c>
      <c r="AT20" s="409">
        <f>IF(Tabela_ogolne[[#This Row],[godziny.zajec.razem]]&gt;0,IF(Tabela_ogolne[[#This Row],[godziny.zajec.razem]]&gt;=45,4,2),0)</f>
        <v>2</v>
      </c>
      <c r="AU20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15</v>
      </c>
      <c r="AV20" s="435">
        <f>IF(Tabela_ogolne[[#This Row],[ects.bezposr.nauczyciel]],Tabela_ogolne[[#This Row],[ects.bezposr.nauczyciel]]/Tabela_ogolne[[#This Row],[ects.razem]],0)</f>
        <v>0.5</v>
      </c>
      <c r="AW20" s="49"/>
    </row>
    <row r="21" spans="1:49" ht="25.5" customHeight="1" x14ac:dyDescent="0.3">
      <c r="A21" s="207"/>
      <c r="B21" s="402" t="s">
        <v>450</v>
      </c>
      <c r="C21" s="403">
        <v>303</v>
      </c>
      <c r="D21" s="403" t="s">
        <v>451</v>
      </c>
      <c r="E21" s="362" t="s">
        <v>604</v>
      </c>
      <c r="F21" s="404" t="s">
        <v>452</v>
      </c>
      <c r="G21" s="405"/>
      <c r="H21" s="406" t="s">
        <v>31</v>
      </c>
      <c r="I21" s="407" t="s">
        <v>367</v>
      </c>
      <c r="J21" s="408"/>
      <c r="K21" s="409" t="str" cm="1">
        <f t="array" ref="K21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/>
      </c>
      <c r="L21" s="408"/>
      <c r="M21" s="410">
        <v>30</v>
      </c>
      <c r="N21" s="411" t="str" cm="1">
        <f t="array" ref="N21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21" s="410" t="s">
        <v>35</v>
      </c>
      <c r="P21" s="412">
        <v>30</v>
      </c>
      <c r="Q21" s="413" t="str" cm="1">
        <f t="array" ref="Q21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21" s="412" t="s">
        <v>35</v>
      </c>
      <c r="S21" s="414"/>
      <c r="T21" s="415" t="str" cm="1">
        <f t="array" ref="T21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21" s="414"/>
      <c r="V21" s="416"/>
      <c r="W21" s="417" t="str" cm="1">
        <f t="array" ref="W21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21" s="416"/>
      <c r="Y21" s="418"/>
      <c r="Z21" s="419" t="str" cm="1">
        <f t="array" ref="Z21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21" s="418"/>
      <c r="AB21" s="420"/>
      <c r="AC21" s="421" t="str" cm="1">
        <f t="array" ref="AC21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21" s="420"/>
      <c r="AE21" s="422"/>
      <c r="AF21" s="423" t="str" cm="1">
        <f t="array" ref="AF21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21" s="422"/>
      <c r="AH21" s="424"/>
      <c r="AI21" s="425" t="str" cm="1">
        <f t="array" ref="AI21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21" s="424"/>
      <c r="AK21" s="426"/>
      <c r="AL21" s="427" t="str" cm="1">
        <f t="array" ref="AL21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21" s="426"/>
      <c r="AN21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0</v>
      </c>
      <c r="AO21" s="429">
        <f>IF(ISERR(SEARCH("UP",Tabela_ogolne[[#This Row],[Umiej.prakt.]],1)),0,Tabela_ogolne[[#This Row],[ects.razem]])</f>
        <v>0</v>
      </c>
      <c r="AP21" s="430">
        <f>IF(Tabela_ogolne[[#This Row],[czy.ects]]="TAK",ROUND((SUM(Tabela_ogolne[[#This Row],[godziny.konsultacja]],Tabela_ogolne[[#This Row],[godziny.egzamin]],Tabela_ogolne[[#This Row],[godziny.zajec.razem]])/25)/0.5,0)*0.5,0)</f>
        <v>0</v>
      </c>
      <c r="AQ21" s="431">
        <f>SUM(Tabela_ogolne[[#This Row],[godziny.samoksztalcenie]],Tabela_ogolne[[#This Row],[godziny.konsultacja]],Tabela_ogolne[[#This Row],[godziny.egzamin]],Tabela_ogolne[[#This Row],[godziny.zajec.razem]])</f>
        <v>105</v>
      </c>
      <c r="AR21" s="432">
        <f>INT(SUM(Tabela_ogolne[[#This Row],[godziny.konsultacja]],Tabela_ogolne[[#This Row],[godziny.egzamin]],Tabela_ogolne[[#This Row],[godziny.zajec.razem]])*0.5+Tabela_ogolne[[#This Row],[godziny.zajec.razem]]*(15-$G$191)/9)</f>
        <v>35</v>
      </c>
      <c r="AS21" s="433">
        <f>INT(Tabela_ogolne[[#This Row],[godziny.zajec.razem]]*0.1)</f>
        <v>6</v>
      </c>
      <c r="AT21" s="409">
        <f>IF(Tabela_ogolne[[#This Row],[godziny.zajec.razem]]&gt;0,IF(Tabela_ogolne[[#This Row],[godziny.zajec.razem]]&gt;=45,4,2),0)</f>
        <v>4</v>
      </c>
      <c r="AU21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60</v>
      </c>
      <c r="AV21" s="435">
        <f>IF(Tabela_ogolne[[#This Row],[ects.bezposr.nauczyciel]],Tabela_ogolne[[#This Row],[ects.bezposr.nauczyciel]]/Tabela_ogolne[[#This Row],[ects.razem]],0)</f>
        <v>0</v>
      </c>
      <c r="AW21" s="49"/>
    </row>
    <row r="22" spans="1:49" ht="25.5" customHeight="1" x14ac:dyDescent="0.3">
      <c r="A22" s="207"/>
      <c r="B22" s="402" t="s">
        <v>453</v>
      </c>
      <c r="C22" s="403">
        <v>104</v>
      </c>
      <c r="D22" s="403" t="s">
        <v>454</v>
      </c>
      <c r="E22" s="362" t="s">
        <v>604</v>
      </c>
      <c r="F22" s="404" t="s">
        <v>455</v>
      </c>
      <c r="G22" s="405"/>
      <c r="H22" s="406" t="s">
        <v>31</v>
      </c>
      <c r="I22" s="407" t="s">
        <v>32</v>
      </c>
      <c r="J22" s="672"/>
      <c r="K22" s="409" t="str" cm="1">
        <f t="array" ref="K22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/>
      </c>
      <c r="L22" s="408"/>
      <c r="M22" s="410">
        <v>30</v>
      </c>
      <c r="N22" s="411">
        <v>3</v>
      </c>
      <c r="O22" s="410" t="s">
        <v>33</v>
      </c>
      <c r="P22" s="412">
        <v>30</v>
      </c>
      <c r="Q22" s="413">
        <v>3</v>
      </c>
      <c r="R22" s="412" t="s">
        <v>33</v>
      </c>
      <c r="S22" s="414">
        <v>30</v>
      </c>
      <c r="T22" s="415">
        <v>3</v>
      </c>
      <c r="U22" s="414" t="s">
        <v>33</v>
      </c>
      <c r="V22" s="416">
        <v>30</v>
      </c>
      <c r="W22" s="417" cm="1">
        <f t="array" ref="W22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>2</v>
      </c>
      <c r="X22" s="416" t="s">
        <v>33</v>
      </c>
      <c r="Y22" s="418"/>
      <c r="Z22" s="419" t="str" cm="1">
        <f t="array" ref="Z22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22" s="418"/>
      <c r="AB22" s="420"/>
      <c r="AC22" s="421" t="str" cm="1">
        <f t="array" ref="AC22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22" s="420"/>
      <c r="AE22" s="422"/>
      <c r="AF22" s="423" t="str" cm="1">
        <f t="array" ref="AF22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22" s="422"/>
      <c r="AH22" s="424"/>
      <c r="AI22" s="425" t="str" cm="1">
        <f t="array" ref="AI22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22" s="424"/>
      <c r="AK22" s="426"/>
      <c r="AL22" s="427" t="str" cm="1">
        <f t="array" ref="AL22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22" s="426"/>
      <c r="AN22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11</v>
      </c>
      <c r="AO22" s="429">
        <f>IF(ISERR(SEARCH("UP",Tabela_ogolne[[#This Row],[Umiej.prakt.]],1)),0,Tabela_ogolne[[#This Row],[ects.razem]])</f>
        <v>11</v>
      </c>
      <c r="AP22" s="430">
        <f>IF(Tabela_ogolne[[#This Row],[czy.ects]]="TAK",ROUND((SUM(Tabela_ogolne[[#This Row],[godziny.konsultacja]],Tabela_ogolne[[#This Row],[godziny.egzamin]],Tabela_ogolne[[#This Row],[godziny.zajec.razem]])/25)/0.5,0)*0.5,0)</f>
        <v>5.5</v>
      </c>
      <c r="AQ22" s="431">
        <f>SUM(Tabela_ogolne[[#This Row],[godziny.samoksztalcenie]],Tabela_ogolne[[#This Row],[godziny.konsultacja]],Tabela_ogolne[[#This Row],[godziny.egzamin]],Tabela_ogolne[[#This Row],[godziny.zajec.razem]])</f>
        <v>204</v>
      </c>
      <c r="AR22" s="432">
        <f>INT(SUM(Tabela_ogolne[[#This Row],[godziny.konsultacja]],Tabela_ogolne[[#This Row],[godziny.egzamin]],Tabela_ogolne[[#This Row],[godziny.zajec.razem]])*0.5+Tabela_ogolne[[#This Row],[godziny.zajec.razem]]*(15-$G$191)/9)</f>
        <v>68</v>
      </c>
      <c r="AS22" s="433">
        <f>INT(Tabela_ogolne[[#This Row],[godziny.zajec.razem]]*0.1)</f>
        <v>12</v>
      </c>
      <c r="AT22" s="409">
        <f>IF(Tabela_ogolne[[#This Row],[godziny.zajec.razem]]&gt;0,IF(Tabela_ogolne[[#This Row],[godziny.zajec.razem]]&gt;=45,4,2),0)</f>
        <v>4</v>
      </c>
      <c r="AU22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120</v>
      </c>
      <c r="AV22" s="435">
        <f>IF(Tabela_ogolne[[#This Row],[ects.bezposr.nauczyciel]],Tabela_ogolne[[#This Row],[ects.bezposr.nauczyciel]]/Tabela_ogolne[[#This Row],[ects.razem]],0)</f>
        <v>0.5</v>
      </c>
      <c r="AW22" s="49"/>
    </row>
    <row r="23" spans="1:49" ht="25.5" customHeight="1" x14ac:dyDescent="0.3">
      <c r="A23" s="207"/>
      <c r="B23" s="402" t="s">
        <v>433</v>
      </c>
      <c r="C23" s="403">
        <v>506</v>
      </c>
      <c r="D23" s="403" t="s">
        <v>456</v>
      </c>
      <c r="E23" s="362"/>
      <c r="F23" s="404" t="s">
        <v>432</v>
      </c>
      <c r="G23" s="405"/>
      <c r="H23" s="406" t="s">
        <v>34</v>
      </c>
      <c r="I23" s="407" t="s">
        <v>367</v>
      </c>
      <c r="J23" s="408">
        <v>5</v>
      </c>
      <c r="K23" s="409" t="str" cm="1">
        <f t="array" ref="K23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/>
      </c>
      <c r="L23" s="408" t="s">
        <v>35</v>
      </c>
      <c r="M23" s="410"/>
      <c r="N23" s="411" t="str" cm="1">
        <f t="array" ref="N23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23" s="410"/>
      <c r="P23" s="412"/>
      <c r="Q23" s="413" t="str" cm="1">
        <f t="array" ref="Q23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23" s="412"/>
      <c r="S23" s="414"/>
      <c r="T23" s="415" t="str" cm="1">
        <f t="array" ref="T23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23" s="414"/>
      <c r="V23" s="416"/>
      <c r="W23" s="417" t="str" cm="1">
        <f t="array" ref="W23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23" s="416"/>
      <c r="Y23" s="418"/>
      <c r="Z23" s="419" t="str" cm="1">
        <f t="array" ref="Z23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23" s="418"/>
      <c r="AB23" s="420"/>
      <c r="AC23" s="421" t="str" cm="1">
        <f t="array" ref="AC23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23" s="420"/>
      <c r="AE23" s="422"/>
      <c r="AF23" s="423" t="str" cm="1">
        <f t="array" ref="AF23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23" s="422"/>
      <c r="AH23" s="424"/>
      <c r="AI23" s="425" t="str" cm="1">
        <f t="array" ref="AI23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23" s="424"/>
      <c r="AK23" s="426"/>
      <c r="AL23" s="427" t="str" cm="1">
        <f t="array" ref="AL23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23" s="426"/>
      <c r="AN23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0</v>
      </c>
      <c r="AO23" s="429">
        <f>IF(ISERR(SEARCH("UP",Tabela_ogolne[[#This Row],[Umiej.prakt.]],1)),0,Tabela_ogolne[[#This Row],[ects.razem]])</f>
        <v>0</v>
      </c>
      <c r="AP23" s="430">
        <f>IF(Tabela_ogolne[[#This Row],[czy.ects]]="TAK",ROUND((SUM(Tabela_ogolne[[#This Row],[godziny.konsultacja]],Tabela_ogolne[[#This Row],[godziny.egzamin]],Tabela_ogolne[[#This Row],[godziny.zajec.razem]])/25)/0.5,0)*0.5,0)</f>
        <v>0</v>
      </c>
      <c r="AQ23" s="431">
        <f>SUM(Tabela_ogolne[[#This Row],[godziny.samoksztalcenie]],Tabela_ogolne[[#This Row],[godziny.konsultacja]],Tabela_ogolne[[#This Row],[godziny.egzamin]],Tabela_ogolne[[#This Row],[godziny.zajec.razem]])</f>
        <v>10</v>
      </c>
      <c r="AR23" s="432">
        <f>INT(SUM(Tabela_ogolne[[#This Row],[godziny.konsultacja]],Tabela_ogolne[[#This Row],[godziny.egzamin]],Tabela_ogolne[[#This Row],[godziny.zajec.razem]])*0.5+Tabela_ogolne[[#This Row],[godziny.zajec.razem]]*(15-$G$191)/9)</f>
        <v>3</v>
      </c>
      <c r="AS23" s="433">
        <f>INT(Tabela_ogolne[[#This Row],[godziny.zajec.razem]]*0.1)</f>
        <v>0</v>
      </c>
      <c r="AT23" s="409">
        <f>IF(Tabela_ogolne[[#This Row],[godziny.zajec.razem]]&gt;0,IF(Tabela_ogolne[[#This Row],[godziny.zajec.razem]]&gt;=45,4,2),0)</f>
        <v>2</v>
      </c>
      <c r="AU23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5</v>
      </c>
      <c r="AV23" s="435">
        <f>IF(Tabela_ogolne[[#This Row],[ects.bezposr.nauczyciel]],Tabela_ogolne[[#This Row],[ects.bezposr.nauczyciel]]/Tabela_ogolne[[#This Row],[ects.razem]],0)</f>
        <v>0</v>
      </c>
      <c r="AW23" s="49"/>
    </row>
    <row r="24" spans="1:49" ht="25.5" customHeight="1" x14ac:dyDescent="0.3">
      <c r="A24" s="207"/>
      <c r="B24" s="402" t="s">
        <v>425</v>
      </c>
      <c r="C24" s="403">
        <v>303</v>
      </c>
      <c r="D24" s="403" t="s">
        <v>457</v>
      </c>
      <c r="E24" s="494"/>
      <c r="F24" s="404" t="s">
        <v>36</v>
      </c>
      <c r="G24" s="405"/>
      <c r="H24" s="406" t="s">
        <v>34</v>
      </c>
      <c r="I24" s="407" t="s">
        <v>367</v>
      </c>
      <c r="J24" s="408">
        <v>5</v>
      </c>
      <c r="K24" s="409" t="str" cm="1">
        <f t="array" ref="K24">IF(Tabela_ogolne[[#This Row],[czy.ects]]="TAK",_xlfn.IFS(AND(Tabela_ogolne[[#This Row],[sem1.godziny]]&gt;=$Q$191,Tabela_ogolne[[#This Row],[sem1.forma]]="z"),8,AND(Tabela_ogolne[[#This Row],[sem1.godziny]]&gt;=$I$191,Tabela_ogolne[[#This Row],[sem1.forma]]="z"),4,AND(Tabela_ogolne[[#This Row],[sem1.godziny]]&gt;=$H$191,Tabela_ogolne[[#This Row],[sem1.forma]]="e"),2,AND(Tabela_ogolne[[#This Row],[sem1.godziny]]&lt;$H$191,Tabela_ogolne[[#This Row],[sem1.forma]]="e"),1,AND(Tabela_ogolne[[#This Row],[sem1.godziny]]&gt;=$H$191,Tabela_ogolne[[#This Row],[sem1.forma]]="z"),2,AND(Tabela_ogolne[[#This Row],[sem1.godziny]]&lt;$H$191,Tabela_ogolne[[#This Row],[sem1.forma]]="z"),1,TRUE,""),"")</f>
        <v/>
      </c>
      <c r="L24" s="408" t="s">
        <v>35</v>
      </c>
      <c r="M24" s="410"/>
      <c r="N24" s="411" t="str" cm="1">
        <f t="array" ref="N24">IF(Tabela_ogolne[[#This Row],[czy.ects]]="TAK",_xlfn.IFS(AND(Tabela_ogolne[[#This Row],[sem2.godziny]]&gt;=$Q$191,Tabela_ogolne[[#This Row],[sem2.forma]]="z"),8,AND(Tabela_ogolne[[#This Row],[sem2.godziny]]&gt;=$I$191,Tabela_ogolne[[#This Row],[sem2.forma]]="z"),4,AND(Tabela_ogolne[[#This Row],[sem2.godziny]]&gt;=$H$191,Tabela_ogolne[[#This Row],[sem2.forma]]="e"),2,AND(Tabela_ogolne[[#This Row],[sem2.godziny]]&lt;$H$191,Tabela_ogolne[[#This Row],[sem2.forma]]="e"),1,AND(Tabela_ogolne[[#This Row],[sem2.godziny]]&gt;=$H$191,Tabela_ogolne[[#This Row],[sem2.forma]]="z"),2,AND(Tabela_ogolne[[#This Row],[sem2.godziny]]&lt;$H$191,Tabela_ogolne[[#This Row],[sem2.forma]]="z"),1,TRUE,""),"")</f>
        <v/>
      </c>
      <c r="O24" s="410"/>
      <c r="P24" s="412"/>
      <c r="Q24" s="413" t="str" cm="1">
        <f t="array" ref="Q24">IF(Tabela_ogolne[[#This Row],[czy.ects]]="TAK",_xlfn.IFS(AND(Tabela_ogolne[[#This Row],[sem3.godziny]]&gt;=$Q$191,Tabela_ogolne[[#This Row],[sem3.forma]]="z"),8,AND(Tabela_ogolne[[#This Row],[sem3.godziny]]&gt;=$I$191,Tabela_ogolne[[#This Row],[sem3.forma]]="z"),4,AND(Tabela_ogolne[[#This Row],[sem3.godziny]]&gt;=$H$191,Tabela_ogolne[[#This Row],[sem3.forma]]="e"),2,AND(Tabela_ogolne[[#This Row],[sem3.godziny]]&lt;$H$191,Tabela_ogolne[[#This Row],[sem3.forma]]="e"),1,AND(Tabela_ogolne[[#This Row],[sem3.godziny]]&gt;=$H$191,Tabela_ogolne[[#This Row],[sem3.forma]]="z"),2,AND(Tabela_ogolne[[#This Row],[sem3.godziny]]&lt;$H$191,Tabela_ogolne[[#This Row],[sem3.forma]]="z"),1,TRUE,""),"")</f>
        <v/>
      </c>
      <c r="R24" s="412"/>
      <c r="S24" s="414"/>
      <c r="T24" s="415" t="str" cm="1">
        <f t="array" ref="T24">IF(Tabela_ogolne[[#This Row],[czy.ects]]="TAK",_xlfn.IFS(AND(Tabela_ogolne[[#This Row],[sem4.godziny]]&gt;=$Q$191,Tabela_ogolne[[#This Row],[sem4.forma]]="z"),8,AND(Tabela_ogolne[[#This Row],[sem4.godziny]]&gt;=$I$191,Tabela_ogolne[[#This Row],[sem4.forma]]="z"),4,AND(Tabela_ogolne[[#This Row],[sem4.godziny]]&gt;=$H$191,Tabela_ogolne[[#This Row],[sem4.forma]]="e"),2,AND(Tabela_ogolne[[#This Row],[sem4.godziny]]&lt;$H$191,Tabela_ogolne[[#This Row],[sem4.forma]]="e"),1,AND(Tabela_ogolne[[#This Row],[sem4.godziny]]&gt;=$H$191,Tabela_ogolne[[#This Row],[sem4.forma]]="z"),2,AND(Tabela_ogolne[[#This Row],[sem4.godziny]]&lt;$H$191,Tabela_ogolne[[#This Row],[sem4.forma]]="z"),1,TRUE,""),"")</f>
        <v/>
      </c>
      <c r="U24" s="414"/>
      <c r="V24" s="416"/>
      <c r="W24" s="417" t="str" cm="1">
        <f t="array" ref="W24">IF(Tabela_ogolne[[#This Row],[czy.ects]]="TAK",_xlfn.IFS(AND(Tabela_ogolne[[#This Row],[sem5.godziny]]&gt;=$Q$191,Tabela_ogolne[[#This Row],[sem5.forma]]="z"),8,AND(Tabela_ogolne[[#This Row],[sem5.godziny]]&gt;=$I$191,Tabela_ogolne[[#This Row],[sem5.forma]]="z"),4,AND(Tabela_ogolne[[#This Row],[sem5.godziny]]&gt;=$H$191,Tabela_ogolne[[#This Row],[sem5.forma]]="e"),2,AND(Tabela_ogolne[[#This Row],[sem5.godziny]]&lt;$H$191,Tabela_ogolne[[#This Row],[sem5.forma]]="e"),1,AND(Tabela_ogolne[[#This Row],[sem5.godziny]]&gt;=$H$191,Tabela_ogolne[[#This Row],[sem5.forma]]="z"),2,AND(Tabela_ogolne[[#This Row],[sem5.godziny]]&lt;$H$191,Tabela_ogolne[[#This Row],[sem5.forma]]="z"),1,TRUE,""),"")</f>
        <v/>
      </c>
      <c r="X24" s="416"/>
      <c r="Y24" s="418"/>
      <c r="Z24" s="419" t="str" cm="1">
        <f t="array" ref="Z24">IF(Tabela_ogolne[[#This Row],[czy.ects]]="TAK",_xlfn.IFS(AND(Tabela_ogolne[[#This Row],[sem6.godziny]]&gt;=$Q$191,Tabela_ogolne[[#This Row],[sem6.forma]]="z"),8,AND(Tabela_ogolne[[#This Row],[sem6.godziny]]&gt;=$I$191,Tabela_ogolne[[#This Row],[sem6.forma]]="z"),4,AND(Tabela_ogolne[[#This Row],[sem6.godziny]]&gt;=$H$191,Tabela_ogolne[[#This Row],[sem6.forma]]="e"),2,AND(Tabela_ogolne[[#This Row],[sem6.godziny]]&lt;$H$191,Tabela_ogolne[[#This Row],[sem6.forma]]="e"),1,AND(Tabela_ogolne[[#This Row],[sem6.godziny]]&gt;=$H$191,Tabela_ogolne[[#This Row],[sem6.forma]]="z"),2,AND(Tabela_ogolne[[#This Row],[sem6.godziny]]&lt;$H$191,Tabela_ogolne[[#This Row],[sem6.forma]]="z"),1,TRUE,""),"")</f>
        <v/>
      </c>
      <c r="AA24" s="418"/>
      <c r="AB24" s="420"/>
      <c r="AC24" s="421" t="str" cm="1">
        <f t="array" ref="AC24">IF(Tabela_ogolne[[#This Row],[czy.ects]]="TAK",_xlfn.IFS(AND(Tabela_ogolne[[#This Row],[sem7.godziny]]&gt;=$Q$191,Tabela_ogolne[[#This Row],[sem7.forma]]="z"),8,AND(Tabela_ogolne[[#This Row],[sem7.godziny]]&gt;=$I$191,Tabela_ogolne[[#This Row],[sem7.forma]]="z"),4,AND(Tabela_ogolne[[#This Row],[sem7.godziny]]&gt;=$H$191,Tabela_ogolne[[#This Row],[sem7.forma]]="e"),2,AND(Tabela_ogolne[[#This Row],[sem7.godziny]]&lt;$H$191,Tabela_ogolne[[#This Row],[sem7.forma]]="e"),1,AND(Tabela_ogolne[[#This Row],[sem7.godziny]]&gt;=$H$191,Tabela_ogolne[[#This Row],[sem7.forma]]="z"),2,AND(Tabela_ogolne[[#This Row],[sem7.godziny]]&lt;$H$191,Tabela_ogolne[[#This Row],[sem7.forma]]="z"),1,TRUE,""),"")</f>
        <v/>
      </c>
      <c r="AD24" s="420"/>
      <c r="AE24" s="422"/>
      <c r="AF24" s="423" t="str" cm="1">
        <f t="array" ref="AF24">IF(Tabela_ogolne[[#This Row],[czy.ects]]="TAK",_xlfn.IFS(AND(Tabela_ogolne[[#This Row],[sem8.godziny]]&gt;=$Q$191,Tabela_ogolne[[#This Row],[sem8.forma]]="z"),8,AND(Tabela_ogolne[[#This Row],[sem8.godziny]]&gt;=$I$191,Tabela_ogolne[[#This Row],[sem8.forma]]="z"),4,AND(Tabela_ogolne[[#This Row],[sem8.godziny]]&gt;=$H$191,Tabela_ogolne[[#This Row],[sem8.forma]]="e"),2,AND(Tabela_ogolne[[#This Row],[sem8.godziny]]&lt;$H$191,Tabela_ogolne[[#This Row],[sem8.forma]]="e"),1,AND(Tabela_ogolne[[#This Row],[sem8.godziny]]&gt;=$H$191,Tabela_ogolne[[#This Row],[sem8.forma]]="z"),2,AND(Tabela_ogolne[[#This Row],[sem8.godziny]]&lt;$H$191,Tabela_ogolne[[#This Row],[sem8.forma]]="z"),1,TRUE,""),"")</f>
        <v/>
      </c>
      <c r="AG24" s="422"/>
      <c r="AH24" s="424"/>
      <c r="AI24" s="425" t="str" cm="1">
        <f t="array" ref="AI24">IF(Tabela_ogolne[[#This Row],[czy.ects]]="TAK",_xlfn.IFS(AND(Tabela_ogolne[[#This Row],[sem9.godziny]]&gt;=$Q$191,Tabela_ogolne[[#This Row],[sem9.forma]]="z"),8,AND(Tabela_ogolne[[#This Row],[sem9.godziny]]&gt;=$I$191,Tabela_ogolne[[#This Row],[sem9.forma]]="z"),4,AND(Tabela_ogolne[[#This Row],[sem9.godziny]]&gt;=$H$191,Tabela_ogolne[[#This Row],[sem9.forma]]="e"),2,AND(Tabela_ogolne[[#This Row],[sem9.godziny]]&lt;$H$191,Tabela_ogolne[[#This Row],[sem9.forma]]="e"),1,AND(Tabela_ogolne[[#This Row],[sem9.godziny]]&gt;=$H$191,Tabela_ogolne[[#This Row],[sem9.forma]]="z"),2,AND(Tabela_ogolne[[#This Row],[sem9.godziny]]&lt;$H$191,Tabela_ogolne[[#This Row],[sem9.forma]]="z"),1,TRUE,""),"")</f>
        <v/>
      </c>
      <c r="AJ24" s="424"/>
      <c r="AK24" s="426"/>
      <c r="AL24" s="427" t="str" cm="1">
        <f t="array" ref="AL24">IF(Tabela_ogolne[[#This Row],[czy.ects]]="TAK",_xlfn.IFS(AND(Tabela_ogolne[[#This Row],[sem10.godziny]]&gt;=$Q$191,Tabela_ogolne[[#This Row],[sem10.forma]]="z"),8,AND(Tabela_ogolne[[#This Row],[sem10.godziny]]&gt;=$I$191,Tabela_ogolne[[#This Row],[sem10.forma]]="z"),4,AND(Tabela_ogolne[[#This Row],[sem10.godziny]]&gt;=$H$191,Tabela_ogolne[[#This Row],[sem10.forma]]="e"),2,AND(Tabela_ogolne[[#This Row],[sem10.godziny]]&lt;$H$191,Tabela_ogolne[[#This Row],[sem10.forma]]="e"),1,AND(Tabela_ogolne[[#This Row],[sem10.godziny]]&gt;=$H$191,Tabela_ogolne[[#This Row],[sem10.forma]]="z"),2,AND(Tabela_ogolne[[#This Row],[sem10.godziny]]&lt;$H$191,Tabela_ogolne[[#This Row],[sem10.forma]]="z"),1,TRUE,""),"")</f>
        <v/>
      </c>
      <c r="AM24" s="426"/>
      <c r="AN24" s="428">
        <f>SUM(Tabela_ogolne[[#This Row],[sem1.ects]],Tabela_ogolne[[#This Row],[sem2.ects]],Tabela_ogolne[[#This Row],[sem3.ects]],Tabela_ogolne[[#This Row],[sem4.ects]],Tabela_ogolne[[#This Row],[sem5.ects]],Tabela_ogolne[[#This Row],[sem6.ects]],Tabela_ogolne[[#This Row],[sem7.ects]],Tabela_ogolne[[#This Row],[sem8.ects]],Tabela_ogolne[[#This Row],[sem9.ects]],Tabela_ogolne[[#This Row],[sem10.ects]])</f>
        <v>0</v>
      </c>
      <c r="AO24" s="429">
        <f>IF(ISERR(SEARCH("UP",Tabela_ogolne[[#This Row],[Umiej.prakt.]],1)),0,Tabela_ogolne[[#This Row],[ects.razem]])</f>
        <v>0</v>
      </c>
      <c r="AP24" s="430">
        <f>IF(Tabela_ogolne[[#This Row],[czy.ects]]="TAK",ROUND((SUM(Tabela_ogolne[[#This Row],[godziny.konsultacja]],Tabela_ogolne[[#This Row],[godziny.egzamin]],Tabela_ogolne[[#This Row],[godziny.zajec.razem]])/25)/0.5,0)*0.5,0)</f>
        <v>0</v>
      </c>
      <c r="AQ24" s="431">
        <f>SUM(Tabela_ogolne[[#This Row],[godziny.samoksztalcenie]],Tabela_ogolne[[#This Row],[godziny.konsultacja]],Tabela_ogolne[[#This Row],[godziny.egzamin]],Tabela_ogolne[[#This Row],[godziny.zajec.razem]])</f>
        <v>10</v>
      </c>
      <c r="AR24" s="432">
        <f>INT(SUM(Tabela_ogolne[[#This Row],[godziny.konsultacja]],Tabela_ogolne[[#This Row],[godziny.egzamin]],Tabela_ogolne[[#This Row],[godziny.zajec.razem]])*0.5+Tabela_ogolne[[#This Row],[godziny.zajec.razem]]*(15-$G$191)/9)</f>
        <v>3</v>
      </c>
      <c r="AS24" s="433">
        <f>INT(Tabela_ogolne[[#This Row],[godziny.zajec.razem]]*0.1)</f>
        <v>0</v>
      </c>
      <c r="AT24" s="409">
        <f>IF(Tabela_ogolne[[#This Row],[godziny.zajec.razem]]&gt;0,IF(Tabela_ogolne[[#This Row],[godziny.zajec.razem]]&gt;=45,4,2),0)</f>
        <v>2</v>
      </c>
      <c r="AU24" s="434">
        <f>SUM(Tabela_ogolne[[#This Row],[sem1.godziny]],Tabela_ogolne[[#This Row],[sem2.godziny]],Tabela_ogolne[[#This Row],[sem3.godziny]],Tabela_ogolne[[#This Row],[sem4.godziny]],Tabela_ogolne[[#This Row],[sem5.godziny]],Tabela_ogolne[[#This Row],[sem6.godziny]],Tabela_ogolne[[#This Row],[sem7.godziny]],Tabela_ogolne[[#This Row],[sem8.godziny]],Tabela_ogolne[[#This Row],[sem9.godziny]],Tabela_ogolne[[#This Row],[sem10.godziny]])</f>
        <v>5</v>
      </c>
      <c r="AV24" s="435">
        <f>IF(Tabela_ogolne[[#This Row],[ects.bezposr.nauczyciel]],Tabela_ogolne[[#This Row],[ects.bezposr.nauczyciel]]/Tabela_ogolne[[#This Row],[ects.razem]],0)</f>
        <v>0</v>
      </c>
      <c r="AW24" s="49"/>
    </row>
    <row r="25" spans="1:49" ht="7.5" customHeight="1" thickBot="1" x14ac:dyDescent="0.35">
      <c r="A25" s="207"/>
      <c r="B25" s="495"/>
      <c r="C25" s="496"/>
      <c r="D25" s="496"/>
      <c r="E25" s="496"/>
      <c r="F25" s="497"/>
      <c r="G25" s="498"/>
      <c r="H25" s="499"/>
      <c r="I25" s="500"/>
      <c r="J25" s="501"/>
      <c r="K25" s="502"/>
      <c r="L25" s="501"/>
      <c r="M25" s="503"/>
      <c r="N25" s="504"/>
      <c r="O25" s="503"/>
      <c r="P25" s="505"/>
      <c r="Q25" s="506"/>
      <c r="R25" s="505"/>
      <c r="S25" s="507"/>
      <c r="T25" s="508"/>
      <c r="U25" s="507"/>
      <c r="V25" s="509"/>
      <c r="W25" s="509"/>
      <c r="X25" s="509"/>
      <c r="Y25" s="510"/>
      <c r="Z25" s="510"/>
      <c r="AA25" s="510"/>
      <c r="AB25" s="511"/>
      <c r="AC25" s="511"/>
      <c r="AD25" s="511"/>
      <c r="AE25" s="512"/>
      <c r="AF25" s="513"/>
      <c r="AG25" s="514"/>
      <c r="AH25" s="515"/>
      <c r="AI25" s="516"/>
      <c r="AJ25" s="517"/>
      <c r="AK25" s="501"/>
      <c r="AL25" s="518"/>
      <c r="AM25" s="519"/>
      <c r="AN25" s="520"/>
      <c r="AO25" s="521"/>
      <c r="AP25" s="521"/>
      <c r="AQ25" s="521"/>
      <c r="AR25" s="521"/>
      <c r="AS25" s="521"/>
      <c r="AT25" s="521"/>
      <c r="AU25" s="521"/>
      <c r="AV25" s="521"/>
      <c r="AW25" s="207"/>
    </row>
    <row r="26" spans="1:49" ht="19.5" customHeight="1" thickBot="1" x14ac:dyDescent="0.35">
      <c r="A26" s="207"/>
      <c r="B26" s="762" t="s">
        <v>40</v>
      </c>
      <c r="C26" s="771"/>
      <c r="D26" s="771"/>
      <c r="E26" s="771"/>
      <c r="F26" s="771"/>
      <c r="G26" s="771"/>
      <c r="H26" s="522"/>
      <c r="I26" s="522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  <c r="AG26" s="523"/>
      <c r="AH26" s="523"/>
      <c r="AI26" s="523"/>
      <c r="AJ26" s="523"/>
      <c r="AK26" s="523"/>
      <c r="AL26" s="523"/>
      <c r="AM26" s="523"/>
      <c r="AN26" s="523"/>
      <c r="AO26" s="523"/>
      <c r="AP26" s="523"/>
      <c r="AQ26" s="523"/>
      <c r="AR26" s="523"/>
      <c r="AS26" s="523"/>
      <c r="AT26" s="523"/>
      <c r="AU26" s="523"/>
      <c r="AV26" s="524"/>
      <c r="AW26" s="49"/>
    </row>
    <row r="27" spans="1:49" ht="25.5" customHeight="1" thickBot="1" x14ac:dyDescent="0.35">
      <c r="A27" s="207"/>
      <c r="B27" s="769" t="s">
        <v>428</v>
      </c>
      <c r="C27" s="770"/>
      <c r="D27" s="770"/>
      <c r="E27" s="770"/>
      <c r="F27" s="770"/>
      <c r="G27" s="770"/>
      <c r="H27" s="770"/>
      <c r="I27" s="763"/>
      <c r="J27" s="464">
        <f>SUM(Tabela_podst[sem1.godziny])</f>
        <v>195</v>
      </c>
      <c r="K27" s="464">
        <f>SUM(Tabela_podst[sem1.ects])</f>
        <v>18</v>
      </c>
      <c r="L27" s="464"/>
      <c r="M27" s="464">
        <f>SUM(Tabela_podst[sem2.godziny])</f>
        <v>60</v>
      </c>
      <c r="N27" s="464">
        <f>SUM(Tabela_podst[sem2.ects])</f>
        <v>5</v>
      </c>
      <c r="O27" s="464"/>
      <c r="P27" s="464">
        <f>SUM(Tabela_podst[sem3.godziny])</f>
        <v>0</v>
      </c>
      <c r="Q27" s="464">
        <f>SUM(Tabela_podst[sem3.ects])</f>
        <v>0</v>
      </c>
      <c r="R27" s="464"/>
      <c r="S27" s="464">
        <f>SUM(Tabela_podst[sem4.godziny])</f>
        <v>0</v>
      </c>
      <c r="T27" s="464">
        <f>SUM(Tabela_podst[sem4.ects])</f>
        <v>0</v>
      </c>
      <c r="U27" s="464"/>
      <c r="V27" s="464">
        <f>SUM(Tabela_podst[sem5.godziny])</f>
        <v>30</v>
      </c>
      <c r="W27" s="464">
        <f>SUM(Tabela_podst[sem5.ects])</f>
        <v>2</v>
      </c>
      <c r="X27" s="464"/>
      <c r="Y27" s="464">
        <f>SUM(Tabela_podst[sem6.godziny])</f>
        <v>0</v>
      </c>
      <c r="Z27" s="464">
        <f>SUM(Tabela_podst[sem6.ects])</f>
        <v>0</v>
      </c>
      <c r="AA27" s="464"/>
      <c r="AB27" s="464">
        <f>SUM(Tabela_podst[sem7.godziny])</f>
        <v>0</v>
      </c>
      <c r="AC27" s="464">
        <f>SUM(Tabela_podst[sem7.ects])</f>
        <v>0</v>
      </c>
      <c r="AD27" s="464"/>
      <c r="AE27" s="464">
        <f>SUM(Tabela_podst[sem8.godziny])</f>
        <v>0</v>
      </c>
      <c r="AF27" s="464">
        <f>SUM(Tabela_podst[sem8.ects])</f>
        <v>0</v>
      </c>
      <c r="AG27" s="464"/>
      <c r="AH27" s="464">
        <f>SUM(Tabela_podst[sem9.godziny])</f>
        <v>0</v>
      </c>
      <c r="AI27" s="464">
        <f>SUM(Tabela_podst[sem9.ects])</f>
        <v>0</v>
      </c>
      <c r="AJ27" s="464"/>
      <c r="AK27" s="464">
        <f>SUM(Tabela_podst[sem10.godziny])</f>
        <v>0</v>
      </c>
      <c r="AL27" s="464">
        <f>SUM(Tabela_podst[sem10.ects])</f>
        <v>0</v>
      </c>
      <c r="AM27" s="464"/>
      <c r="AN27" s="464">
        <f>SUM(Tabela_podst[ects.razem])</f>
        <v>25</v>
      </c>
      <c r="AO27" s="464">
        <f>SUM(Tabela_podst[ects.umiej.prakt.])</f>
        <v>6</v>
      </c>
      <c r="AP27" s="464">
        <f>SUM(Tabela_podst[ects.bezposr.nauczyciel])</f>
        <v>12.5</v>
      </c>
      <c r="AQ27" s="464">
        <f>SUM(Tabela_podst[godziny.razem.student])</f>
        <v>501</v>
      </c>
      <c r="AR27" s="464">
        <f>SUM(Tabela_podst[godziny.samoksztalcenie])</f>
        <v>165</v>
      </c>
      <c r="AS27" s="464">
        <f>SUM(Tabela_podst[godziny.konsultacja])</f>
        <v>25</v>
      </c>
      <c r="AT27" s="464">
        <f>SUM(Tabela_podst[godziny.egzamin])</f>
        <v>26</v>
      </c>
      <c r="AU27" s="464">
        <f>SUM(Tabela_podst[godziny.zajec.razem])</f>
        <v>285</v>
      </c>
      <c r="AV27" s="465"/>
      <c r="AW27" s="49"/>
    </row>
    <row r="28" spans="1:49" ht="25.5" hidden="1" customHeight="1" x14ac:dyDescent="0.3">
      <c r="A28" s="207"/>
      <c r="B28" s="525" t="s">
        <v>374</v>
      </c>
      <c r="C28" s="526" t="s">
        <v>373</v>
      </c>
      <c r="D28" s="527" t="s">
        <v>372</v>
      </c>
      <c r="E28" s="527" t="s">
        <v>371</v>
      </c>
      <c r="F28" s="528" t="s">
        <v>368</v>
      </c>
      <c r="G28" s="529" t="s">
        <v>369</v>
      </c>
      <c r="H28" s="530" t="s">
        <v>370</v>
      </c>
      <c r="I28" s="531" t="s">
        <v>375</v>
      </c>
      <c r="J28" s="532" t="s">
        <v>376</v>
      </c>
      <c r="K28" s="533" t="s">
        <v>377</v>
      </c>
      <c r="L28" s="534" t="s">
        <v>378</v>
      </c>
      <c r="M28" s="535" t="s">
        <v>379</v>
      </c>
      <c r="N28" s="536" t="s">
        <v>380</v>
      </c>
      <c r="O28" s="535" t="s">
        <v>381</v>
      </c>
      <c r="P28" s="537" t="s">
        <v>382</v>
      </c>
      <c r="Q28" s="538" t="s">
        <v>383</v>
      </c>
      <c r="R28" s="537" t="s">
        <v>384</v>
      </c>
      <c r="S28" s="539" t="s">
        <v>385</v>
      </c>
      <c r="T28" s="540" t="s">
        <v>386</v>
      </c>
      <c r="U28" s="539" t="s">
        <v>387</v>
      </c>
      <c r="V28" s="541" t="s">
        <v>388</v>
      </c>
      <c r="W28" s="542" t="s">
        <v>389</v>
      </c>
      <c r="X28" s="541" t="s">
        <v>390</v>
      </c>
      <c r="Y28" s="543" t="s">
        <v>391</v>
      </c>
      <c r="Z28" s="544" t="s">
        <v>392</v>
      </c>
      <c r="AA28" s="543" t="s">
        <v>393</v>
      </c>
      <c r="AB28" s="545" t="s">
        <v>394</v>
      </c>
      <c r="AC28" s="546" t="s">
        <v>395</v>
      </c>
      <c r="AD28" s="545" t="s">
        <v>396</v>
      </c>
      <c r="AE28" s="547" t="s">
        <v>409</v>
      </c>
      <c r="AF28" s="547" t="s">
        <v>410</v>
      </c>
      <c r="AG28" s="547" t="s">
        <v>411</v>
      </c>
      <c r="AH28" s="548" t="s">
        <v>412</v>
      </c>
      <c r="AI28" s="548" t="s">
        <v>413</v>
      </c>
      <c r="AJ28" s="548" t="s">
        <v>414</v>
      </c>
      <c r="AK28" s="549" t="s">
        <v>415</v>
      </c>
      <c r="AL28" s="549" t="s">
        <v>416</v>
      </c>
      <c r="AM28" s="549" t="s">
        <v>417</v>
      </c>
      <c r="AN28" s="550" t="s">
        <v>397</v>
      </c>
      <c r="AO28" s="551" t="s">
        <v>398</v>
      </c>
      <c r="AP28" s="552" t="s">
        <v>399</v>
      </c>
      <c r="AQ28" s="553" t="s">
        <v>400</v>
      </c>
      <c r="AR28" s="554" t="s">
        <v>401</v>
      </c>
      <c r="AS28" s="555" t="s">
        <v>402</v>
      </c>
      <c r="AT28" s="556" t="s">
        <v>403</v>
      </c>
      <c r="AU28" s="557" t="s">
        <v>404</v>
      </c>
      <c r="AV28" s="558" t="s">
        <v>405</v>
      </c>
      <c r="AW28" s="49"/>
    </row>
    <row r="29" spans="1:49" ht="25.5" customHeight="1" x14ac:dyDescent="0.3">
      <c r="A29" s="207"/>
      <c r="B29" s="361" t="s">
        <v>458</v>
      </c>
      <c r="C29" s="362">
        <v>501</v>
      </c>
      <c r="D29" s="363" t="s">
        <v>459</v>
      </c>
      <c r="E29" s="363"/>
      <c r="F29" s="364" t="s">
        <v>460</v>
      </c>
      <c r="G29" s="365"/>
      <c r="H29" s="366" t="s">
        <v>38</v>
      </c>
      <c r="I29" s="367" t="s">
        <v>32</v>
      </c>
      <c r="J29" s="368">
        <v>15</v>
      </c>
      <c r="K29" s="369" cm="1">
        <f t="array" ref="K29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>1</v>
      </c>
      <c r="L29" s="368" t="s">
        <v>41</v>
      </c>
      <c r="M29" s="370"/>
      <c r="N29" s="371" t="str" cm="1">
        <f t="array" ref="N29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29" s="370"/>
      <c r="P29" s="372"/>
      <c r="Q29" s="373" t="str" cm="1">
        <f t="array" ref="Q29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29" s="372"/>
      <c r="S29" s="374"/>
      <c r="T29" s="375" t="str" cm="1">
        <f t="array" ref="T29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29" s="374"/>
      <c r="V29" s="376"/>
      <c r="W29" s="377" t="str" cm="1">
        <f t="array" ref="W29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29" s="376"/>
      <c r="Y29" s="378"/>
      <c r="Z29" s="379" t="str" cm="1">
        <f t="array" ref="Z29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29" s="378"/>
      <c r="AB29" s="380"/>
      <c r="AC29" s="381" t="str" cm="1">
        <f t="array" ref="AC29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29" s="380"/>
      <c r="AE29" s="382"/>
      <c r="AF29" s="383" t="str" cm="1">
        <f t="array" ref="AF29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29" s="382"/>
      <c r="AH29" s="384"/>
      <c r="AI29" s="385" t="str" cm="1">
        <f t="array" ref="AI29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29" s="384"/>
      <c r="AK29" s="386"/>
      <c r="AL29" s="387" t="str" cm="1">
        <f t="array" ref="AL29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29" s="386"/>
      <c r="AN29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29" s="389">
        <f>IF(ISERR(SEARCH("UP",Tabela_podst[[#This Row],[Umiej.prakt.]],1)),0,Tabela_podst[[#This Row],[ects.razem]])</f>
        <v>0</v>
      </c>
      <c r="AP29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29" s="391">
        <f>SUM(Tabela_podst[[#This Row],[godziny.samoksztalcenie]],Tabela_podst[[#This Row],[godziny.konsultacja]],Tabela_podst[[#This Row],[godziny.egzamin]],Tabela_podst[[#This Row],[godziny.zajec.razem]])</f>
        <v>27</v>
      </c>
      <c r="AR29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29" s="393">
        <f>INT(Tabela_podst[[#This Row],[godziny.zajec.razem]]*0.1)</f>
        <v>1</v>
      </c>
      <c r="AT29" s="394">
        <f>IF(Tabela_podst[[#This Row],[godziny.zajec.razem]]&gt;0,IF(Tabela_podst[[#This Row],[godziny.zajec.razem]]&gt;=45,4,2),0)</f>
        <v>2</v>
      </c>
      <c r="AU29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29" s="396">
        <f>IF(Tabela_podst[[#This Row],[ects.bezposr.nauczyciel]],Tabela_podst[[#This Row],[ects.bezposr.nauczyciel]]/Tabela_podst[[#This Row],[ects.razem]],0)</f>
        <v>0.5</v>
      </c>
      <c r="AW29" s="49"/>
    </row>
    <row r="30" spans="1:49" ht="25.5" customHeight="1" x14ac:dyDescent="0.3">
      <c r="A30" s="207"/>
      <c r="B30" s="361" t="s">
        <v>458</v>
      </c>
      <c r="C30" s="362">
        <v>501</v>
      </c>
      <c r="D30" s="363" t="s">
        <v>461</v>
      </c>
      <c r="E30" s="363"/>
      <c r="F30" s="364" t="s">
        <v>460</v>
      </c>
      <c r="G30" s="365"/>
      <c r="H30" s="366" t="s">
        <v>31</v>
      </c>
      <c r="I30" s="367" t="s">
        <v>32</v>
      </c>
      <c r="J30" s="368">
        <v>30</v>
      </c>
      <c r="K30" s="369">
        <v>3</v>
      </c>
      <c r="L30" s="368" t="s">
        <v>33</v>
      </c>
      <c r="M30" s="370"/>
      <c r="N30" s="371" t="str" cm="1">
        <f t="array" ref="N30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0" s="370"/>
      <c r="P30" s="372"/>
      <c r="Q30" s="373" t="str" cm="1">
        <f t="array" ref="Q30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0" s="372"/>
      <c r="S30" s="374"/>
      <c r="T30" s="375" t="str" cm="1">
        <f t="array" ref="T30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0" s="374"/>
      <c r="V30" s="376"/>
      <c r="W30" s="377" t="str" cm="1">
        <f t="array" ref="W30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0" s="376"/>
      <c r="Y30" s="378"/>
      <c r="Z30" s="379" t="str" cm="1">
        <f t="array" ref="Z30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0" s="378"/>
      <c r="AB30" s="380"/>
      <c r="AC30" s="381" t="str" cm="1">
        <f t="array" ref="AC30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0" s="380"/>
      <c r="AE30" s="382"/>
      <c r="AF30" s="383" t="str" cm="1">
        <f t="array" ref="AF30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0" s="382"/>
      <c r="AH30" s="384"/>
      <c r="AI30" s="385" t="str" cm="1">
        <f t="array" ref="AI30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0" s="384"/>
      <c r="AK30" s="386"/>
      <c r="AL30" s="387" t="str" cm="1">
        <f t="array" ref="AL30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0" s="386"/>
      <c r="AN30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3</v>
      </c>
      <c r="AO30" s="389">
        <f>IF(ISERR(SEARCH("UP",Tabela_podst[[#This Row],[Umiej.prakt.]],1)),0,Tabela_podst[[#This Row],[ects.razem]])</f>
        <v>0</v>
      </c>
      <c r="AP30" s="390">
        <f>IF(Tabela_podst[[#This Row],[czy.ects]]="TAK",ROUND((SUM(Tabela_podst[[#This Row],[godziny.konsultacja]],Tabela_podst[[#This Row],[godziny.egzamin]],Tabela_podst[[#This Row],[godziny.zajec.razem]])/25)/0.5,0)*0.5,0)</f>
        <v>1.5</v>
      </c>
      <c r="AQ30" s="391">
        <f>SUM(Tabela_podst[[#This Row],[godziny.samoksztalcenie]],Tabela_podst[[#This Row],[godziny.konsultacja]],Tabela_podst[[#This Row],[godziny.egzamin]],Tabela_podst[[#This Row],[godziny.zajec.razem]])</f>
        <v>52</v>
      </c>
      <c r="AR30" s="392">
        <f>INT(SUM(Tabela_podst[[#This Row],[godziny.konsultacja]],Tabela_podst[[#This Row],[godziny.egzamin]],Tabela_podst[[#This Row],[godziny.zajec.razem]])*0.5+Tabela_podst[[#This Row],[godziny.zajec.razem]]*(15-$G$194)/9)</f>
        <v>17</v>
      </c>
      <c r="AS30" s="393">
        <f>INT(Tabela_podst[[#This Row],[godziny.zajec.razem]]*0.1)</f>
        <v>3</v>
      </c>
      <c r="AT30" s="394">
        <f>IF(Tabela_podst[[#This Row],[godziny.zajec.razem]]&gt;0,IF(Tabela_podst[[#This Row],[godziny.zajec.razem]]&gt;=45,4,2),0)</f>
        <v>2</v>
      </c>
      <c r="AU30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30</v>
      </c>
      <c r="AV30" s="396">
        <f>IF(Tabela_podst[[#This Row],[ects.bezposr.nauczyciel]],Tabela_podst[[#This Row],[ects.bezposr.nauczyciel]]/Tabela_podst[[#This Row],[ects.razem]],0)</f>
        <v>0.5</v>
      </c>
      <c r="AW30" s="49"/>
    </row>
    <row r="31" spans="1:49" ht="25.5" customHeight="1" x14ac:dyDescent="0.3">
      <c r="A31" s="207"/>
      <c r="B31" s="361" t="s">
        <v>462</v>
      </c>
      <c r="C31" s="362">
        <v>506</v>
      </c>
      <c r="D31" s="363" t="s">
        <v>465</v>
      </c>
      <c r="E31" s="363" t="s">
        <v>604</v>
      </c>
      <c r="F31" s="364" t="s">
        <v>463</v>
      </c>
      <c r="G31" s="365"/>
      <c r="H31" s="366" t="s">
        <v>37</v>
      </c>
      <c r="I31" s="367" t="s">
        <v>32</v>
      </c>
      <c r="J31" s="368">
        <v>30</v>
      </c>
      <c r="K31" s="369">
        <v>3</v>
      </c>
      <c r="L31" s="368" t="s">
        <v>33</v>
      </c>
      <c r="M31" s="370"/>
      <c r="N31" s="371" t="str" cm="1">
        <f t="array" ref="N31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1" s="370"/>
      <c r="P31" s="372"/>
      <c r="Q31" s="373" t="str" cm="1">
        <f t="array" ref="Q31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1" s="372"/>
      <c r="S31" s="374"/>
      <c r="T31" s="375" t="str" cm="1">
        <f t="array" ref="T31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1" s="374"/>
      <c r="V31" s="376"/>
      <c r="W31" s="377" t="str" cm="1">
        <f t="array" ref="W31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1" s="376"/>
      <c r="Y31" s="378"/>
      <c r="Z31" s="379" t="str" cm="1">
        <f t="array" ref="Z31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1" s="378"/>
      <c r="AB31" s="380"/>
      <c r="AC31" s="381" t="str" cm="1">
        <f t="array" ref="AC31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1" s="380"/>
      <c r="AE31" s="382"/>
      <c r="AF31" s="383" t="str" cm="1">
        <f t="array" ref="AF31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1" s="382"/>
      <c r="AH31" s="384"/>
      <c r="AI31" s="385" t="str" cm="1">
        <f t="array" ref="AI31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1" s="384"/>
      <c r="AK31" s="386"/>
      <c r="AL31" s="387" t="str" cm="1">
        <f t="array" ref="AL31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1" s="386"/>
      <c r="AN31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3</v>
      </c>
      <c r="AO31" s="389">
        <f>IF(ISERR(SEARCH("UP",Tabela_podst[[#This Row],[Umiej.prakt.]],1)),0,Tabela_podst[[#This Row],[ects.razem]])</f>
        <v>3</v>
      </c>
      <c r="AP31" s="390">
        <f>IF(Tabela_podst[[#This Row],[czy.ects]]="TAK",ROUND((SUM(Tabela_podst[[#This Row],[godziny.konsultacja]],Tabela_podst[[#This Row],[godziny.egzamin]],Tabela_podst[[#This Row],[godziny.zajec.razem]])/25)/0.5,0)*0.5,0)</f>
        <v>1.5</v>
      </c>
      <c r="AQ31" s="391">
        <f>SUM(Tabela_podst[[#This Row],[godziny.samoksztalcenie]],Tabela_podst[[#This Row],[godziny.konsultacja]],Tabela_podst[[#This Row],[godziny.egzamin]],Tabela_podst[[#This Row],[godziny.zajec.razem]])</f>
        <v>52</v>
      </c>
      <c r="AR31" s="392">
        <f>INT(SUM(Tabela_podst[[#This Row],[godziny.konsultacja]],Tabela_podst[[#This Row],[godziny.egzamin]],Tabela_podst[[#This Row],[godziny.zajec.razem]])*0.5+Tabela_podst[[#This Row],[godziny.zajec.razem]]*(15-$G$194)/9)</f>
        <v>17</v>
      </c>
      <c r="AS31" s="393">
        <f>INT(Tabela_podst[[#This Row],[godziny.zajec.razem]]*0.1)</f>
        <v>3</v>
      </c>
      <c r="AT31" s="394">
        <f>IF(Tabela_podst[[#This Row],[godziny.zajec.razem]]&gt;0,IF(Tabela_podst[[#This Row],[godziny.zajec.razem]]&gt;=45,4,2),0)</f>
        <v>2</v>
      </c>
      <c r="AU31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30</v>
      </c>
      <c r="AV31" s="396">
        <f>IF(Tabela_podst[[#This Row],[ects.bezposr.nauczyciel]],Tabela_podst[[#This Row],[ects.bezposr.nauczyciel]]/Tabela_podst[[#This Row],[ects.razem]],0)</f>
        <v>0.5</v>
      </c>
      <c r="AW31" s="49"/>
    </row>
    <row r="32" spans="1:49" ht="25.5" customHeight="1" x14ac:dyDescent="0.3">
      <c r="A32" s="207"/>
      <c r="B32" s="361" t="s">
        <v>447</v>
      </c>
      <c r="C32" s="362">
        <v>507</v>
      </c>
      <c r="D32" s="363" t="s">
        <v>464</v>
      </c>
      <c r="E32" s="363"/>
      <c r="F32" s="364" t="s">
        <v>466</v>
      </c>
      <c r="G32" s="365"/>
      <c r="H32" s="366" t="s">
        <v>37</v>
      </c>
      <c r="I32" s="367" t="s">
        <v>32</v>
      </c>
      <c r="J32" s="368">
        <v>30</v>
      </c>
      <c r="K32" s="369">
        <v>3</v>
      </c>
      <c r="L32" s="368" t="s">
        <v>33</v>
      </c>
      <c r="M32" s="370"/>
      <c r="N32" s="371" t="str" cm="1">
        <f t="array" ref="N32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2" s="370"/>
      <c r="P32" s="372"/>
      <c r="Q32" s="373" t="str" cm="1">
        <f t="array" ref="Q32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2" s="372"/>
      <c r="S32" s="374"/>
      <c r="T32" s="375" t="str" cm="1">
        <f t="array" ref="T32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2" s="374"/>
      <c r="V32" s="376"/>
      <c r="W32" s="377" t="str" cm="1">
        <f t="array" ref="W32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2" s="376"/>
      <c r="Y32" s="378"/>
      <c r="Z32" s="379" t="str" cm="1">
        <f t="array" ref="Z32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2" s="378"/>
      <c r="AB32" s="380"/>
      <c r="AC32" s="381" t="str" cm="1">
        <f t="array" ref="AC32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2" s="380"/>
      <c r="AE32" s="382"/>
      <c r="AF32" s="383" t="str" cm="1">
        <f t="array" ref="AF32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2" s="382"/>
      <c r="AH32" s="384"/>
      <c r="AI32" s="385" t="str" cm="1">
        <f t="array" ref="AI32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2" s="384"/>
      <c r="AK32" s="386"/>
      <c r="AL32" s="387" t="str" cm="1">
        <f t="array" ref="AL32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2" s="386"/>
      <c r="AN32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3</v>
      </c>
      <c r="AO32" s="389">
        <f>IF(ISERR(SEARCH("UP",Tabela_podst[[#This Row],[Umiej.prakt.]],1)),0,Tabela_podst[[#This Row],[ects.razem]])</f>
        <v>0</v>
      </c>
      <c r="AP32" s="390">
        <f>IF(Tabela_podst[[#This Row],[czy.ects]]="TAK",ROUND((SUM(Tabela_podst[[#This Row],[godziny.konsultacja]],Tabela_podst[[#This Row],[godziny.egzamin]],Tabela_podst[[#This Row],[godziny.zajec.razem]])/25)/0.5,0)*0.5,0)</f>
        <v>1.5</v>
      </c>
      <c r="AQ32" s="391">
        <f>SUM(Tabela_podst[[#This Row],[godziny.samoksztalcenie]],Tabela_podst[[#This Row],[godziny.konsultacja]],Tabela_podst[[#This Row],[godziny.egzamin]],Tabela_podst[[#This Row],[godziny.zajec.razem]])</f>
        <v>52</v>
      </c>
      <c r="AR32" s="392">
        <f>INT(SUM(Tabela_podst[[#This Row],[godziny.konsultacja]],Tabela_podst[[#This Row],[godziny.egzamin]],Tabela_podst[[#This Row],[godziny.zajec.razem]])*0.5+Tabela_podst[[#This Row],[godziny.zajec.razem]]*(15-$G$194)/9)</f>
        <v>17</v>
      </c>
      <c r="AS32" s="393">
        <f>INT(Tabela_podst[[#This Row],[godziny.zajec.razem]]*0.1)</f>
        <v>3</v>
      </c>
      <c r="AT32" s="394">
        <f>IF(Tabela_podst[[#This Row],[godziny.zajec.razem]]&gt;0,IF(Tabela_podst[[#This Row],[godziny.zajec.razem]]&gt;=45,4,2),0)</f>
        <v>2</v>
      </c>
      <c r="AU32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30</v>
      </c>
      <c r="AV32" s="396">
        <f>IF(Tabela_podst[[#This Row],[ects.bezposr.nauczyciel]],Tabela_podst[[#This Row],[ects.bezposr.nauczyciel]]/Tabela_podst[[#This Row],[ects.razem]],0)</f>
        <v>0.5</v>
      </c>
      <c r="AW32" s="49"/>
    </row>
    <row r="33" spans="1:49" ht="25.5" customHeight="1" x14ac:dyDescent="0.3">
      <c r="A33" s="207"/>
      <c r="B33" s="361" t="s">
        <v>467</v>
      </c>
      <c r="C33" s="362">
        <v>603</v>
      </c>
      <c r="D33" s="363" t="s">
        <v>468</v>
      </c>
      <c r="E33" s="363"/>
      <c r="F33" s="364" t="s">
        <v>469</v>
      </c>
      <c r="G33" s="365"/>
      <c r="H33" s="366" t="s">
        <v>37</v>
      </c>
      <c r="I33" s="367" t="s">
        <v>32</v>
      </c>
      <c r="J33" s="368">
        <v>30</v>
      </c>
      <c r="K33" s="369">
        <v>3</v>
      </c>
      <c r="L33" s="368" t="s">
        <v>33</v>
      </c>
      <c r="M33" s="370"/>
      <c r="N33" s="371" t="str" cm="1">
        <f t="array" ref="N33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3" s="370"/>
      <c r="P33" s="372"/>
      <c r="Q33" s="373" t="str" cm="1">
        <f t="array" ref="Q33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3" s="372"/>
      <c r="S33" s="374"/>
      <c r="T33" s="375" t="str" cm="1">
        <f t="array" ref="T33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3" s="374"/>
      <c r="V33" s="376"/>
      <c r="W33" s="377" t="str" cm="1">
        <f t="array" ref="W33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3" s="376"/>
      <c r="Y33" s="378"/>
      <c r="Z33" s="379" t="str" cm="1">
        <f t="array" ref="Z33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3" s="378"/>
      <c r="AB33" s="380"/>
      <c r="AC33" s="381" t="str" cm="1">
        <f t="array" ref="AC33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3" s="380"/>
      <c r="AE33" s="382"/>
      <c r="AF33" s="383" t="str" cm="1">
        <f t="array" ref="AF33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3" s="382"/>
      <c r="AH33" s="384"/>
      <c r="AI33" s="385" t="str" cm="1">
        <f t="array" ref="AI33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3" s="384"/>
      <c r="AK33" s="386"/>
      <c r="AL33" s="387" t="str" cm="1">
        <f t="array" ref="AL33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3" s="386"/>
      <c r="AN33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3</v>
      </c>
      <c r="AO33" s="389">
        <f>IF(ISERR(SEARCH("UP",Tabela_podst[[#This Row],[Umiej.prakt.]],1)),0,Tabela_podst[[#This Row],[ects.razem]])</f>
        <v>0</v>
      </c>
      <c r="AP33" s="390">
        <f>IF(Tabela_podst[[#This Row],[czy.ects]]="TAK",ROUND((SUM(Tabela_podst[[#This Row],[godziny.konsultacja]],Tabela_podst[[#This Row],[godziny.egzamin]],Tabela_podst[[#This Row],[godziny.zajec.razem]])/25)/0.5,0)*0.5,0)</f>
        <v>1.5</v>
      </c>
      <c r="AQ33" s="391">
        <f>SUM(Tabela_podst[[#This Row],[godziny.samoksztalcenie]],Tabela_podst[[#This Row],[godziny.konsultacja]],Tabela_podst[[#This Row],[godziny.egzamin]],Tabela_podst[[#This Row],[godziny.zajec.razem]])</f>
        <v>52</v>
      </c>
      <c r="AR33" s="392">
        <f>INT(SUM(Tabela_podst[[#This Row],[godziny.konsultacja]],Tabela_podst[[#This Row],[godziny.egzamin]],Tabela_podst[[#This Row],[godziny.zajec.razem]])*0.5+Tabela_podst[[#This Row],[godziny.zajec.razem]]*(15-$G$194)/9)</f>
        <v>17</v>
      </c>
      <c r="AS33" s="393">
        <f>INT(Tabela_podst[[#This Row],[godziny.zajec.razem]]*0.1)</f>
        <v>3</v>
      </c>
      <c r="AT33" s="394">
        <f>IF(Tabela_podst[[#This Row],[godziny.zajec.razem]]&gt;0,IF(Tabela_podst[[#This Row],[godziny.zajec.razem]]&gt;=45,4,2),0)</f>
        <v>2</v>
      </c>
      <c r="AU33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30</v>
      </c>
      <c r="AV33" s="396">
        <f>IF(Tabela_podst[[#This Row],[ects.bezposr.nauczyciel]],Tabela_podst[[#This Row],[ects.bezposr.nauczyciel]]/Tabela_podst[[#This Row],[ects.razem]],0)</f>
        <v>0.5</v>
      </c>
      <c r="AW33" s="49"/>
    </row>
    <row r="34" spans="1:49" ht="25.5" customHeight="1" x14ac:dyDescent="0.3">
      <c r="A34" s="207"/>
      <c r="B34" s="361" t="s">
        <v>467</v>
      </c>
      <c r="C34" s="362">
        <v>603</v>
      </c>
      <c r="D34" s="363" t="s">
        <v>470</v>
      </c>
      <c r="E34" s="363"/>
      <c r="F34" s="364" t="s">
        <v>469</v>
      </c>
      <c r="G34" s="365"/>
      <c r="H34" s="366" t="s">
        <v>39</v>
      </c>
      <c r="I34" s="367" t="s">
        <v>32</v>
      </c>
      <c r="J34" s="368">
        <v>15</v>
      </c>
      <c r="K34" s="369" cm="1">
        <f t="array" ref="K34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>1</v>
      </c>
      <c r="L34" s="368" t="s">
        <v>33</v>
      </c>
      <c r="M34" s="370"/>
      <c r="N34" s="371" t="str" cm="1">
        <f t="array" ref="N34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4" s="370"/>
      <c r="P34" s="372"/>
      <c r="Q34" s="373" t="str" cm="1">
        <f t="array" ref="Q34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4" s="372"/>
      <c r="S34" s="374"/>
      <c r="T34" s="375" t="str" cm="1">
        <f t="array" ref="T34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4" s="374"/>
      <c r="V34" s="376"/>
      <c r="W34" s="377" t="str" cm="1">
        <f t="array" ref="W34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4" s="376"/>
      <c r="Y34" s="378"/>
      <c r="Z34" s="379" t="str" cm="1">
        <f t="array" ref="Z34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4" s="378"/>
      <c r="AB34" s="380"/>
      <c r="AC34" s="381" t="str" cm="1">
        <f t="array" ref="AC34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4" s="380"/>
      <c r="AE34" s="382"/>
      <c r="AF34" s="383" t="str" cm="1">
        <f t="array" ref="AF34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4" s="382"/>
      <c r="AH34" s="384"/>
      <c r="AI34" s="385" t="str" cm="1">
        <f t="array" ref="AI34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4" s="384"/>
      <c r="AK34" s="386"/>
      <c r="AL34" s="387" t="str" cm="1">
        <f t="array" ref="AL34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4" s="386"/>
      <c r="AN34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34" s="389">
        <f>IF(ISERR(SEARCH("UP",Tabela_podst[[#This Row],[Umiej.prakt.]],1)),0,Tabela_podst[[#This Row],[ects.razem]])</f>
        <v>0</v>
      </c>
      <c r="AP34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34" s="391">
        <f>SUM(Tabela_podst[[#This Row],[godziny.samoksztalcenie]],Tabela_podst[[#This Row],[godziny.konsultacja]],Tabela_podst[[#This Row],[godziny.egzamin]],Tabela_podst[[#This Row],[godziny.zajec.razem]])</f>
        <v>27</v>
      </c>
      <c r="AR34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34" s="393">
        <f>INT(Tabela_podst[[#This Row],[godziny.zajec.razem]]*0.1)</f>
        <v>1</v>
      </c>
      <c r="AT34" s="394">
        <f>IF(Tabela_podst[[#This Row],[godziny.zajec.razem]]&gt;0,IF(Tabela_podst[[#This Row],[godziny.zajec.razem]]&gt;=45,4,2),0)</f>
        <v>2</v>
      </c>
      <c r="AU34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34" s="396">
        <f>IF(Tabela_podst[[#This Row],[ects.bezposr.nauczyciel]],Tabela_podst[[#This Row],[ects.bezposr.nauczyciel]]/Tabela_podst[[#This Row],[ects.razem]],0)</f>
        <v>0.5</v>
      </c>
      <c r="AW34" s="49"/>
    </row>
    <row r="35" spans="1:49" ht="25.5" customHeight="1" x14ac:dyDescent="0.3">
      <c r="A35" s="207"/>
      <c r="B35" s="361" t="s">
        <v>471</v>
      </c>
      <c r="C35" s="362">
        <v>504</v>
      </c>
      <c r="D35" s="363" t="s">
        <v>472</v>
      </c>
      <c r="E35" s="363" t="s">
        <v>604</v>
      </c>
      <c r="F35" s="364" t="s">
        <v>473</v>
      </c>
      <c r="G35" s="365"/>
      <c r="H35" s="366" t="s">
        <v>37</v>
      </c>
      <c r="I35" s="367" t="s">
        <v>32</v>
      </c>
      <c r="J35" s="368">
        <v>15</v>
      </c>
      <c r="K35" s="369" cm="1">
        <f t="array" ref="K35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>1</v>
      </c>
      <c r="L35" s="368" t="s">
        <v>33</v>
      </c>
      <c r="M35" s="370"/>
      <c r="N35" s="371" t="str" cm="1">
        <f t="array" ref="N35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5" s="370"/>
      <c r="P35" s="372"/>
      <c r="Q35" s="373" t="str" cm="1">
        <f t="array" ref="Q35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5" s="372"/>
      <c r="S35" s="374"/>
      <c r="T35" s="375" t="str" cm="1">
        <f t="array" ref="T35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5" s="374"/>
      <c r="V35" s="376"/>
      <c r="W35" s="377" t="str" cm="1">
        <f t="array" ref="W35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5" s="376"/>
      <c r="Y35" s="378"/>
      <c r="Z35" s="379" t="str" cm="1">
        <f t="array" ref="Z35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5" s="378"/>
      <c r="AB35" s="380"/>
      <c r="AC35" s="381" t="str" cm="1">
        <f t="array" ref="AC35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5" s="380"/>
      <c r="AE35" s="382"/>
      <c r="AF35" s="383" t="str" cm="1">
        <f t="array" ref="AF35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5" s="382"/>
      <c r="AH35" s="384"/>
      <c r="AI35" s="385" t="str" cm="1">
        <f t="array" ref="AI35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5" s="384"/>
      <c r="AK35" s="386"/>
      <c r="AL35" s="387" t="str" cm="1">
        <f t="array" ref="AL35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5" s="386"/>
      <c r="AN35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35" s="389">
        <f>IF(ISERR(SEARCH("UP",Tabela_podst[[#This Row],[Umiej.prakt.]],1)),0,Tabela_podst[[#This Row],[ects.razem]])</f>
        <v>1</v>
      </c>
      <c r="AP35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35" s="391">
        <f>SUM(Tabela_podst[[#This Row],[godziny.samoksztalcenie]],Tabela_podst[[#This Row],[godziny.konsultacja]],Tabela_podst[[#This Row],[godziny.egzamin]],Tabela_podst[[#This Row],[godziny.zajec.razem]])</f>
        <v>27</v>
      </c>
      <c r="AR35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35" s="393">
        <f>INT(Tabela_podst[[#This Row],[godziny.zajec.razem]]*0.1)</f>
        <v>1</v>
      </c>
      <c r="AT35" s="394">
        <f>IF(Tabela_podst[[#This Row],[godziny.zajec.razem]]&gt;0,IF(Tabela_podst[[#This Row],[godziny.zajec.razem]]&gt;=45,4,2),0)</f>
        <v>2</v>
      </c>
      <c r="AU35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35" s="396">
        <f>IF(Tabela_podst[[#This Row],[ects.bezposr.nauczyciel]],Tabela_podst[[#This Row],[ects.bezposr.nauczyciel]]/Tabela_podst[[#This Row],[ects.razem]],0)</f>
        <v>0.5</v>
      </c>
      <c r="AW35" s="49"/>
    </row>
    <row r="36" spans="1:49" ht="25.5" customHeight="1" x14ac:dyDescent="0.3">
      <c r="A36" s="207"/>
      <c r="B36" s="361" t="s">
        <v>458</v>
      </c>
      <c r="C36" s="362">
        <v>501</v>
      </c>
      <c r="D36" s="363" t="s">
        <v>474</v>
      </c>
      <c r="E36" s="363"/>
      <c r="F36" s="364" t="s">
        <v>481</v>
      </c>
      <c r="G36" s="365"/>
      <c r="H36" s="366" t="s">
        <v>37</v>
      </c>
      <c r="I36" s="367" t="s">
        <v>32</v>
      </c>
      <c r="J36" s="368">
        <v>30</v>
      </c>
      <c r="K36" s="369">
        <v>3</v>
      </c>
      <c r="L36" s="368" t="s">
        <v>33</v>
      </c>
      <c r="M36" s="370"/>
      <c r="N36" s="371" t="str" cm="1">
        <f t="array" ref="N36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36" s="370"/>
      <c r="P36" s="372"/>
      <c r="Q36" s="373" t="str" cm="1">
        <f t="array" ref="Q36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6" s="372"/>
      <c r="S36" s="374"/>
      <c r="T36" s="375" t="str" cm="1">
        <f t="array" ref="T36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6" s="374"/>
      <c r="V36" s="376"/>
      <c r="W36" s="377" t="str" cm="1">
        <f t="array" ref="W36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6" s="376"/>
      <c r="Y36" s="378"/>
      <c r="Z36" s="379" t="str" cm="1">
        <f t="array" ref="Z36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6" s="378"/>
      <c r="AB36" s="380"/>
      <c r="AC36" s="381" t="str" cm="1">
        <f t="array" ref="AC36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6" s="380"/>
      <c r="AE36" s="382"/>
      <c r="AF36" s="383" t="str" cm="1">
        <f t="array" ref="AF36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6" s="382"/>
      <c r="AH36" s="384"/>
      <c r="AI36" s="385" t="str" cm="1">
        <f t="array" ref="AI36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6" s="384"/>
      <c r="AK36" s="386"/>
      <c r="AL36" s="387" t="str" cm="1">
        <f t="array" ref="AL36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6" s="386"/>
      <c r="AN36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3</v>
      </c>
      <c r="AO36" s="389">
        <f>IF(ISERR(SEARCH("UP",Tabela_podst[[#This Row],[Umiej.prakt.]],1)),0,Tabela_podst[[#This Row],[ects.razem]])</f>
        <v>0</v>
      </c>
      <c r="AP36" s="390">
        <f>IF(Tabela_podst[[#This Row],[czy.ects]]="TAK",ROUND((SUM(Tabela_podst[[#This Row],[godziny.konsultacja]],Tabela_podst[[#This Row],[godziny.egzamin]],Tabela_podst[[#This Row],[godziny.zajec.razem]])/25)/0.5,0)*0.5,0)</f>
        <v>1.5</v>
      </c>
      <c r="AQ36" s="391">
        <f>SUM(Tabela_podst[[#This Row],[godziny.samoksztalcenie]],Tabela_podst[[#This Row],[godziny.konsultacja]],Tabela_podst[[#This Row],[godziny.egzamin]],Tabela_podst[[#This Row],[godziny.zajec.razem]])</f>
        <v>52</v>
      </c>
      <c r="AR36" s="392">
        <f>INT(SUM(Tabela_podst[[#This Row],[godziny.konsultacja]],Tabela_podst[[#This Row],[godziny.egzamin]],Tabela_podst[[#This Row],[godziny.zajec.razem]])*0.5+Tabela_podst[[#This Row],[godziny.zajec.razem]]*(15-$G$194)/9)</f>
        <v>17</v>
      </c>
      <c r="AS36" s="393">
        <f>INT(Tabela_podst[[#This Row],[godziny.zajec.razem]]*0.1)</f>
        <v>3</v>
      </c>
      <c r="AT36" s="394">
        <f>IF(Tabela_podst[[#This Row],[godziny.zajec.razem]]&gt;0,IF(Tabela_podst[[#This Row],[godziny.zajec.razem]]&gt;=45,4,2),0)</f>
        <v>2</v>
      </c>
      <c r="AU36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30</v>
      </c>
      <c r="AV36" s="396">
        <f>IF(Tabela_podst[[#This Row],[ects.bezposr.nauczyciel]],Tabela_podst[[#This Row],[ects.bezposr.nauczyciel]]/Tabela_podst[[#This Row],[ects.razem]],0)</f>
        <v>0.5</v>
      </c>
      <c r="AW36" s="49"/>
    </row>
    <row r="37" spans="1:49" ht="25.5" customHeight="1" x14ac:dyDescent="0.3">
      <c r="A37" s="207"/>
      <c r="B37" s="361" t="s">
        <v>458</v>
      </c>
      <c r="C37" s="362">
        <v>501</v>
      </c>
      <c r="D37" s="363" t="s">
        <v>477</v>
      </c>
      <c r="E37" s="363"/>
      <c r="F37" s="364" t="s">
        <v>475</v>
      </c>
      <c r="G37" s="365"/>
      <c r="H37" s="366" t="s">
        <v>38</v>
      </c>
      <c r="I37" s="367" t="s">
        <v>32</v>
      </c>
      <c r="J37" s="368"/>
      <c r="K37" s="369" t="str" cm="1">
        <f t="array" ref="K37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/>
      </c>
      <c r="L37" s="368"/>
      <c r="M37" s="370">
        <v>15</v>
      </c>
      <c r="N37" s="371" cm="1">
        <f t="array" ref="N37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>1</v>
      </c>
      <c r="O37" s="370" t="s">
        <v>33</v>
      </c>
      <c r="P37" s="372"/>
      <c r="Q37" s="373" t="str" cm="1">
        <f t="array" ref="Q37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7" s="372"/>
      <c r="S37" s="374"/>
      <c r="T37" s="375" t="str" cm="1">
        <f t="array" ref="T37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7" s="374"/>
      <c r="V37" s="376"/>
      <c r="W37" s="377" t="str" cm="1">
        <f t="array" ref="W37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7" s="376"/>
      <c r="Y37" s="378"/>
      <c r="Z37" s="379" t="str" cm="1">
        <f t="array" ref="Z37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7" s="378"/>
      <c r="AB37" s="380"/>
      <c r="AC37" s="381" t="str" cm="1">
        <f t="array" ref="AC37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7" s="380"/>
      <c r="AE37" s="382"/>
      <c r="AF37" s="383" t="str" cm="1">
        <f t="array" ref="AF37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7" s="382"/>
      <c r="AH37" s="384"/>
      <c r="AI37" s="385" t="str" cm="1">
        <f t="array" ref="AI37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7" s="384"/>
      <c r="AK37" s="386"/>
      <c r="AL37" s="387" t="str" cm="1">
        <f t="array" ref="AL37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7" s="386"/>
      <c r="AN37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37" s="389">
        <f>IF(ISERR(SEARCH("UP",Tabela_podst[[#This Row],[Umiej.prakt.]],1)),0,Tabela_podst[[#This Row],[ects.razem]])</f>
        <v>0</v>
      </c>
      <c r="AP37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37" s="391">
        <f>SUM(Tabela_podst[[#This Row],[godziny.samoksztalcenie]],Tabela_podst[[#This Row],[godziny.konsultacja]],Tabela_podst[[#This Row],[godziny.egzamin]],Tabela_podst[[#This Row],[godziny.zajec.razem]])</f>
        <v>27</v>
      </c>
      <c r="AR37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37" s="393">
        <f>INT(Tabela_podst[[#This Row],[godziny.zajec.razem]]*0.1)</f>
        <v>1</v>
      </c>
      <c r="AT37" s="394">
        <f>IF(Tabela_podst[[#This Row],[godziny.zajec.razem]]&gt;0,IF(Tabela_podst[[#This Row],[godziny.zajec.razem]]&gt;=45,4,2),0)</f>
        <v>2</v>
      </c>
      <c r="AU37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37" s="396">
        <f>IF(Tabela_podst[[#This Row],[ects.bezposr.nauczyciel]],Tabela_podst[[#This Row],[ects.bezposr.nauczyciel]]/Tabela_podst[[#This Row],[ects.razem]],0)</f>
        <v>0.5</v>
      </c>
      <c r="AW37" s="49"/>
    </row>
    <row r="38" spans="1:49" ht="25.5" customHeight="1" x14ac:dyDescent="0.3">
      <c r="A38" s="207"/>
      <c r="B38" s="361" t="s">
        <v>476</v>
      </c>
      <c r="C38" s="362">
        <v>501</v>
      </c>
      <c r="D38" s="363" t="s">
        <v>605</v>
      </c>
      <c r="E38" s="363"/>
      <c r="F38" s="364" t="s">
        <v>475</v>
      </c>
      <c r="G38" s="365"/>
      <c r="H38" s="366" t="s">
        <v>31</v>
      </c>
      <c r="I38" s="367" t="s">
        <v>32</v>
      </c>
      <c r="J38" s="368"/>
      <c r="K38" s="369" t="str" cm="1">
        <f t="array" ref="K38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/>
      </c>
      <c r="L38" s="368"/>
      <c r="M38" s="370">
        <v>15</v>
      </c>
      <c r="N38" s="371" cm="1">
        <f t="array" ref="N38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>1</v>
      </c>
      <c r="O38" s="370" t="s">
        <v>33</v>
      </c>
      <c r="P38" s="372"/>
      <c r="Q38" s="373" t="str" cm="1">
        <f t="array" ref="Q38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8" s="372"/>
      <c r="S38" s="374"/>
      <c r="T38" s="375" t="str" cm="1">
        <f t="array" ref="T38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8" s="374"/>
      <c r="V38" s="376"/>
      <c r="W38" s="377" t="str" cm="1">
        <f t="array" ref="W38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8" s="376"/>
      <c r="Y38" s="378"/>
      <c r="Z38" s="379" t="str" cm="1">
        <f t="array" ref="Z38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8" s="378"/>
      <c r="AB38" s="380"/>
      <c r="AC38" s="381" t="str" cm="1">
        <f t="array" ref="AC38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8" s="380"/>
      <c r="AE38" s="382"/>
      <c r="AF38" s="383" t="str" cm="1">
        <f t="array" ref="AF38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8" s="382"/>
      <c r="AH38" s="384"/>
      <c r="AI38" s="385" t="str" cm="1">
        <f t="array" ref="AI38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8" s="384"/>
      <c r="AK38" s="386"/>
      <c r="AL38" s="387" t="str" cm="1">
        <f t="array" ref="AL38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8" s="386"/>
      <c r="AN38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38" s="389">
        <f>IF(ISERR(SEARCH("UP",Tabela_podst[[#This Row],[Umiej.prakt.]],1)),0,Tabela_podst[[#This Row],[ects.razem]])</f>
        <v>0</v>
      </c>
      <c r="AP38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38" s="391">
        <f>SUM(Tabela_podst[[#This Row],[godziny.samoksztalcenie]],Tabela_podst[[#This Row],[godziny.konsultacja]],Tabela_podst[[#This Row],[godziny.egzamin]],Tabela_podst[[#This Row],[godziny.zajec.razem]])</f>
        <v>27</v>
      </c>
      <c r="AR38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38" s="393">
        <f>INT(Tabela_podst[[#This Row],[godziny.zajec.razem]]*0.1)</f>
        <v>1</v>
      </c>
      <c r="AT38" s="394">
        <f>IF(Tabela_podst[[#This Row],[godziny.zajec.razem]]&gt;0,IF(Tabela_podst[[#This Row],[godziny.zajec.razem]]&gt;=45,4,2),0)</f>
        <v>2</v>
      </c>
      <c r="AU38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38" s="396">
        <f>IF(Tabela_podst[[#This Row],[ects.bezposr.nauczyciel]],Tabela_podst[[#This Row],[ects.bezposr.nauczyciel]]/Tabela_podst[[#This Row],[ects.razem]],0)</f>
        <v>0.5</v>
      </c>
      <c r="AW38" s="49"/>
    </row>
    <row r="39" spans="1:49" ht="25.5" customHeight="1" x14ac:dyDescent="0.3">
      <c r="A39" s="207"/>
      <c r="B39" s="361" t="s">
        <v>479</v>
      </c>
      <c r="C39" s="362">
        <v>501</v>
      </c>
      <c r="D39" s="363" t="s">
        <v>480</v>
      </c>
      <c r="E39" s="363"/>
      <c r="F39" s="364" t="s">
        <v>478</v>
      </c>
      <c r="G39" s="365"/>
      <c r="H39" s="366" t="s">
        <v>39</v>
      </c>
      <c r="I39" s="367" t="s">
        <v>32</v>
      </c>
      <c r="J39" s="368"/>
      <c r="K39" s="369" t="str" cm="1">
        <f t="array" ref="K39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/>
      </c>
      <c r="L39" s="368"/>
      <c r="M39" s="370">
        <v>30</v>
      </c>
      <c r="N39" s="371">
        <v>3</v>
      </c>
      <c r="O39" s="370" t="s">
        <v>33</v>
      </c>
      <c r="P39" s="372"/>
      <c r="Q39" s="373" t="str" cm="1">
        <f t="array" ref="Q39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39" s="372"/>
      <c r="S39" s="374"/>
      <c r="T39" s="375" t="str" cm="1">
        <f t="array" ref="T39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39" s="374"/>
      <c r="V39" s="376"/>
      <c r="W39" s="377" t="str" cm="1">
        <f t="array" ref="W39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/>
      </c>
      <c r="X39" s="376"/>
      <c r="Y39" s="378"/>
      <c r="Z39" s="379" t="str" cm="1">
        <f t="array" ref="Z39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39" s="378"/>
      <c r="AB39" s="380"/>
      <c r="AC39" s="381" t="str" cm="1">
        <f t="array" ref="AC39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39" s="380"/>
      <c r="AE39" s="382"/>
      <c r="AF39" s="383" t="str" cm="1">
        <f t="array" ref="AF39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39" s="382"/>
      <c r="AH39" s="384"/>
      <c r="AI39" s="385" t="str" cm="1">
        <f t="array" ref="AI39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39" s="384"/>
      <c r="AK39" s="386"/>
      <c r="AL39" s="387" t="str" cm="1">
        <f t="array" ref="AL39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39" s="386"/>
      <c r="AN39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3</v>
      </c>
      <c r="AO39" s="389">
        <f>IF(ISERR(SEARCH("UP",Tabela_podst[[#This Row],[Umiej.prakt.]],1)),0,Tabela_podst[[#This Row],[ects.razem]])</f>
        <v>0</v>
      </c>
      <c r="AP39" s="390">
        <f>IF(Tabela_podst[[#This Row],[czy.ects]]="TAK",ROUND((SUM(Tabela_podst[[#This Row],[godziny.konsultacja]],Tabela_podst[[#This Row],[godziny.egzamin]],Tabela_podst[[#This Row],[godziny.zajec.razem]])/25)/0.5,0)*0.5,0)</f>
        <v>1.5</v>
      </c>
      <c r="AQ39" s="391">
        <f>SUM(Tabela_podst[[#This Row],[godziny.samoksztalcenie]],Tabela_podst[[#This Row],[godziny.konsultacja]],Tabela_podst[[#This Row],[godziny.egzamin]],Tabela_podst[[#This Row],[godziny.zajec.razem]])</f>
        <v>52</v>
      </c>
      <c r="AR39" s="392">
        <f>INT(SUM(Tabela_podst[[#This Row],[godziny.konsultacja]],Tabela_podst[[#This Row],[godziny.egzamin]],Tabela_podst[[#This Row],[godziny.zajec.razem]])*0.5+Tabela_podst[[#This Row],[godziny.zajec.razem]]*(15-$G$194)/9)</f>
        <v>17</v>
      </c>
      <c r="AS39" s="393">
        <f>INT(Tabela_podst[[#This Row],[godziny.zajec.razem]]*0.1)</f>
        <v>3</v>
      </c>
      <c r="AT39" s="394">
        <f>IF(Tabela_podst[[#This Row],[godziny.zajec.razem]]&gt;0,IF(Tabela_podst[[#This Row],[godziny.zajec.razem]]&gt;=45,4,2),0)</f>
        <v>2</v>
      </c>
      <c r="AU39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30</v>
      </c>
      <c r="AV39" s="396">
        <f>IF(Tabela_podst[[#This Row],[ects.bezposr.nauczyciel]],Tabela_podst[[#This Row],[ects.bezposr.nauczyciel]]/Tabela_podst[[#This Row],[ects.razem]],0)</f>
        <v>0.5</v>
      </c>
      <c r="AW39" s="50"/>
    </row>
    <row r="40" spans="1:49" ht="25.5" customHeight="1" x14ac:dyDescent="0.3">
      <c r="A40" s="207"/>
      <c r="B40" s="361" t="s">
        <v>482</v>
      </c>
      <c r="C40" s="362">
        <v>501</v>
      </c>
      <c r="D40" s="363" t="s">
        <v>483</v>
      </c>
      <c r="E40" s="494" t="s">
        <v>604</v>
      </c>
      <c r="F40" s="364" t="s">
        <v>485</v>
      </c>
      <c r="G40" s="365"/>
      <c r="H40" s="366" t="s">
        <v>37</v>
      </c>
      <c r="I40" s="367" t="s">
        <v>32</v>
      </c>
      <c r="J40" s="368"/>
      <c r="K40" s="369" t="str" cm="1">
        <f t="array" ref="K40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/>
      </c>
      <c r="L40" s="368"/>
      <c r="M40" s="370"/>
      <c r="N40" s="371" t="str" cm="1">
        <f t="array" ref="N40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40" s="370"/>
      <c r="P40" s="372"/>
      <c r="Q40" s="373" t="str" cm="1">
        <f t="array" ref="Q40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40" s="372"/>
      <c r="S40" s="374"/>
      <c r="T40" s="375" t="str" cm="1">
        <f t="array" ref="T40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40" s="374"/>
      <c r="V40" s="376">
        <v>15</v>
      </c>
      <c r="W40" s="377" cm="1">
        <f t="array" ref="W40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>1</v>
      </c>
      <c r="X40" s="376" t="s">
        <v>41</v>
      </c>
      <c r="Y40" s="378"/>
      <c r="Z40" s="379" t="str" cm="1">
        <f t="array" ref="Z40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40" s="378"/>
      <c r="AB40" s="380"/>
      <c r="AC40" s="381" t="str" cm="1">
        <f t="array" ref="AC40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40" s="380"/>
      <c r="AE40" s="382"/>
      <c r="AF40" s="383" t="str" cm="1">
        <f t="array" ref="AF40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40" s="382"/>
      <c r="AH40" s="384"/>
      <c r="AI40" s="385" t="str" cm="1">
        <f t="array" ref="AI40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40" s="384"/>
      <c r="AK40" s="386"/>
      <c r="AL40" s="387" t="str" cm="1">
        <f t="array" ref="AL40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40" s="386"/>
      <c r="AN40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40" s="389">
        <f>IF(ISERR(SEARCH("UP",Tabela_podst[[#This Row],[Umiej.prakt.]],1)),0,Tabela_podst[[#This Row],[ects.razem]])</f>
        <v>1</v>
      </c>
      <c r="AP40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40" s="391">
        <f>SUM(Tabela_podst[[#This Row],[godziny.samoksztalcenie]],Tabela_podst[[#This Row],[godziny.konsultacja]],Tabela_podst[[#This Row],[godziny.egzamin]],Tabela_podst[[#This Row],[godziny.zajec.razem]])</f>
        <v>27</v>
      </c>
      <c r="AR40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40" s="393">
        <f>INT(Tabela_podst[[#This Row],[godziny.zajec.razem]]*0.1)</f>
        <v>1</v>
      </c>
      <c r="AT40" s="394">
        <f>IF(Tabela_podst[[#This Row],[godziny.zajec.razem]]&gt;0,IF(Tabela_podst[[#This Row],[godziny.zajec.razem]]&gt;=45,4,2),0)</f>
        <v>2</v>
      </c>
      <c r="AU40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40" s="396">
        <f>IF(Tabela_podst[[#This Row],[ects.bezposr.nauczyciel]],Tabela_podst[[#This Row],[ects.bezposr.nauczyciel]]/Tabela_podst[[#This Row],[ects.razem]],0)</f>
        <v>0.5</v>
      </c>
      <c r="AW40" s="49"/>
    </row>
    <row r="41" spans="1:49" ht="25.5" customHeight="1" x14ac:dyDescent="0.3">
      <c r="A41" s="207"/>
      <c r="B41" s="361" t="s">
        <v>482</v>
      </c>
      <c r="C41" s="362">
        <v>501</v>
      </c>
      <c r="D41" s="363" t="s">
        <v>484</v>
      </c>
      <c r="E41" s="363" t="s">
        <v>604</v>
      </c>
      <c r="F41" s="364" t="s">
        <v>485</v>
      </c>
      <c r="G41" s="365"/>
      <c r="H41" s="366" t="s">
        <v>39</v>
      </c>
      <c r="I41" s="367" t="s">
        <v>32</v>
      </c>
      <c r="J41" s="368"/>
      <c r="K41" s="369" t="str" cm="1">
        <f t="array" ref="K41">IF(Tabela_podst[[#This Row],[czy.ects]]="TAK",_xlfn.IFS(AND(Tabela_podst[[#This Row],[sem1.godziny]]&gt;=$Q$194,Tabela_podst[[#This Row],[sem1.forma]]="z"),8,AND(Tabela_podst[[#This Row],[sem1.godziny]]&gt;=$I$194,Tabela_podst[[#This Row],[sem1.forma]]="z"),4,AND(Tabela_podst[[#This Row],[sem1.godziny]]&gt;=$H$194,Tabela_podst[[#This Row],[sem1.forma]]="e"),2,AND(Tabela_podst[[#This Row],[sem1.godziny]]&lt;$H$194,Tabela_podst[[#This Row],[sem1.forma]]="e"),1,AND(Tabela_podst[[#This Row],[sem1.godziny]]&gt;=$H$194,Tabela_podst[[#This Row],[sem1.forma]]="z"),2,AND(Tabela_podst[[#This Row],[sem1.godziny]]&lt;$H$194,Tabela_podst[[#This Row],[sem1.forma]]="z"),1,TRUE,""),"")</f>
        <v/>
      </c>
      <c r="L41" s="368"/>
      <c r="M41" s="370"/>
      <c r="N41" s="371" t="str" cm="1">
        <f t="array" ref="N41">IF(Tabela_podst[[#This Row],[czy.ects]]="TAK",_xlfn.IFS(AND(Tabela_podst[[#This Row],[sem2.godziny]]&gt;=$Q$194,Tabela_podst[[#This Row],[sem2.forma]]="z"),8,AND(Tabela_podst[[#This Row],[sem2.godziny]]&gt;=$I$194,Tabela_podst[[#This Row],[sem2.forma]]="z"),4,AND(Tabela_podst[[#This Row],[sem2.godziny]]&gt;=$H$194,Tabela_podst[[#This Row],[sem2.forma]]="e"),2,AND(Tabela_podst[[#This Row],[sem2.godziny]]&lt;$H$194,Tabela_podst[[#This Row],[sem2.forma]]="e"),1,AND(Tabela_podst[[#This Row],[sem2.godziny]]&gt;=$H$194,Tabela_podst[[#This Row],[sem2.forma]]="z"),2,AND(Tabela_podst[[#This Row],[sem2.godziny]]&lt;$H$194,Tabela_podst[[#This Row],[sem2.forma]]="z"),1,TRUE,""),"")</f>
        <v/>
      </c>
      <c r="O41" s="370"/>
      <c r="P41" s="372"/>
      <c r="Q41" s="373" t="str" cm="1">
        <f t="array" ref="Q41">IF(Tabela_podst[[#This Row],[czy.ects]]="TAK",_xlfn.IFS(AND(Tabela_podst[[#This Row],[sem3.godziny]]&gt;=$Q$194,Tabela_podst[[#This Row],[sem3.forma]]="z"),8,AND(Tabela_podst[[#This Row],[sem3.godziny]]&gt;=$I$194,Tabela_podst[[#This Row],[sem3.forma]]="z"),4,AND(Tabela_podst[[#This Row],[sem3.godziny]]&gt;=$H$194,Tabela_podst[[#This Row],[sem3.forma]]="e"),2,AND(Tabela_podst[[#This Row],[sem3.godziny]]&lt;$H$194,Tabela_podst[[#This Row],[sem3.forma]]="e"),1,AND(Tabela_podst[[#This Row],[sem3.godziny]]&gt;=$H$194,Tabela_podst[[#This Row],[sem3.forma]]="z"),2,AND(Tabela_podst[[#This Row],[sem3.godziny]]&lt;$H$194,Tabela_podst[[#This Row],[sem3.forma]]="z"),1,TRUE,""),"")</f>
        <v/>
      </c>
      <c r="R41" s="372"/>
      <c r="S41" s="374"/>
      <c r="T41" s="375" t="str" cm="1">
        <f t="array" ref="T41">IF(Tabela_podst[[#This Row],[czy.ects]]="TAK",_xlfn.IFS(AND(Tabela_podst[[#This Row],[sem4.godziny]]&gt;=$Q$194,Tabela_podst[[#This Row],[sem4.forma]]="z"),8,AND(Tabela_podst[[#This Row],[sem4.godziny]]&gt;=$I$194,Tabela_podst[[#This Row],[sem4.forma]]="z"),4,AND(Tabela_podst[[#This Row],[sem4.godziny]]&gt;=$H$194,Tabela_podst[[#This Row],[sem4.forma]]="e"),2,AND(Tabela_podst[[#This Row],[sem4.godziny]]&lt;$H$194,Tabela_podst[[#This Row],[sem4.forma]]="e"),1,AND(Tabela_podst[[#This Row],[sem4.godziny]]&gt;=$H$194,Tabela_podst[[#This Row],[sem4.forma]]="z"),2,AND(Tabela_podst[[#This Row],[sem4.godziny]]&lt;$H$194,Tabela_podst[[#This Row],[sem4.forma]]="z"),1,TRUE,""),"")</f>
        <v/>
      </c>
      <c r="U41" s="374"/>
      <c r="V41" s="376">
        <v>15</v>
      </c>
      <c r="W41" s="377" cm="1">
        <f t="array" ref="W41">IF(Tabela_podst[[#This Row],[czy.ects]]="TAK",_xlfn.IFS(AND(Tabela_podst[[#This Row],[sem5.godziny]]&gt;=$Q$194,Tabela_podst[[#This Row],[sem5.forma]]="z"),8,AND(Tabela_podst[[#This Row],[sem5.godziny]]&gt;=$I$194,Tabela_podst[[#This Row],[sem5.forma]]="z"),4,AND(Tabela_podst[[#This Row],[sem5.godziny]]&gt;=$H$194,Tabela_podst[[#This Row],[sem5.forma]]="e"),2,AND(Tabela_podst[[#This Row],[sem5.godziny]]&lt;$H$194,Tabela_podst[[#This Row],[sem5.forma]]="e"),1,AND(Tabela_podst[[#This Row],[sem5.godziny]]&gt;=$H$194,Tabela_podst[[#This Row],[sem5.forma]]="z"),2,AND(Tabela_podst[[#This Row],[sem5.godziny]]&lt;$H$194,Tabela_podst[[#This Row],[sem5.forma]]="z"),1,TRUE,""),"")</f>
        <v>1</v>
      </c>
      <c r="X41" s="376" t="s">
        <v>33</v>
      </c>
      <c r="Y41" s="378"/>
      <c r="Z41" s="379" t="str" cm="1">
        <f t="array" ref="Z41">IF(Tabela_podst[[#This Row],[czy.ects]]="TAK",_xlfn.IFS(AND(Tabela_podst[[#This Row],[sem6.godziny]]&gt;=$Q$194,Tabela_podst[[#This Row],[sem6.forma]]="z"),8,AND(Tabela_podst[[#This Row],[sem6.godziny]]&gt;=$I$194,Tabela_podst[[#This Row],[sem6.forma]]="z"),4,AND(Tabela_podst[[#This Row],[sem6.godziny]]&gt;=$H$194,Tabela_podst[[#This Row],[sem6.forma]]="e"),2,AND(Tabela_podst[[#This Row],[sem6.godziny]]&lt;$H$194,Tabela_podst[[#This Row],[sem6.forma]]="e"),1,AND(Tabela_podst[[#This Row],[sem6.godziny]]&gt;=$H$194,Tabela_podst[[#This Row],[sem6.forma]]="z"),2,AND(Tabela_podst[[#This Row],[sem6.godziny]]&lt;$H$194,Tabela_podst[[#This Row],[sem6.forma]]="z"),1,TRUE,""),"")</f>
        <v/>
      </c>
      <c r="AA41" s="378"/>
      <c r="AB41" s="380"/>
      <c r="AC41" s="381" t="str" cm="1">
        <f t="array" ref="AC41">IF(Tabela_podst[[#This Row],[czy.ects]]="TAK",_xlfn.IFS(AND(Tabela_podst[[#This Row],[sem7.godziny]]&gt;=$Q$194,Tabela_podst[[#This Row],[sem7.forma]]="z"),8,AND(Tabela_podst[[#This Row],[sem7.godziny]]&gt;=$I$194,Tabela_podst[[#This Row],[sem7.forma]]="z"),4,AND(Tabela_podst[[#This Row],[sem7.godziny]]&gt;=$H$194,Tabela_podst[[#This Row],[sem7.forma]]="e"),2,AND(Tabela_podst[[#This Row],[sem7.godziny]]&lt;$H$194,Tabela_podst[[#This Row],[sem7.forma]]="e"),1,AND(Tabela_podst[[#This Row],[sem7.godziny]]&gt;=$H$194,Tabela_podst[[#This Row],[sem7.forma]]="z"),2,AND(Tabela_podst[[#This Row],[sem7.godziny]]&lt;$H$194,Tabela_podst[[#This Row],[sem7.forma]]="z"),1,TRUE,""),"")</f>
        <v/>
      </c>
      <c r="AD41" s="380"/>
      <c r="AE41" s="382"/>
      <c r="AF41" s="383" t="str" cm="1">
        <f t="array" ref="AF41">IF(Tabela_podst[[#This Row],[czy.ects]]="TAK",_xlfn.IFS(AND(Tabela_podst[[#This Row],[sem8.godziny]]&gt;=$Q$194,Tabela_podst[[#This Row],[sem8.forma]]="z"),8,AND(Tabela_podst[[#This Row],[sem8.godziny]]&gt;=$I$194,Tabela_podst[[#This Row],[sem8.forma]]="z"),4,AND(Tabela_podst[[#This Row],[sem8.godziny]]&gt;=$H$194,Tabela_podst[[#This Row],[sem8.forma]]="e"),2,AND(Tabela_podst[[#This Row],[sem8.godziny]]&lt;$H$194,Tabela_podst[[#This Row],[sem8.forma]]="e"),1,AND(Tabela_podst[[#This Row],[sem8.godziny]]&gt;=$H$194,Tabela_podst[[#This Row],[sem8.forma]]="z"),2,AND(Tabela_podst[[#This Row],[sem8.godziny]]&lt;$H$194,Tabela_podst[[#This Row],[sem8.forma]]="z"),1,TRUE,""),"")</f>
        <v/>
      </c>
      <c r="AG41" s="382"/>
      <c r="AH41" s="384"/>
      <c r="AI41" s="385" t="str" cm="1">
        <f t="array" ref="AI41">IF(Tabela_podst[[#This Row],[czy.ects]]="TAK",_xlfn.IFS(AND(Tabela_podst[[#This Row],[sem9.godziny]]&gt;=$Q$194,Tabela_podst[[#This Row],[sem9.forma]]="z"),8,AND(Tabela_podst[[#This Row],[sem9.godziny]]&gt;=$I$194,Tabela_podst[[#This Row],[sem9.forma]]="z"),4,AND(Tabela_podst[[#This Row],[sem9.godziny]]&gt;=$H$194,Tabela_podst[[#This Row],[sem9.forma]]="e"),2,AND(Tabela_podst[[#This Row],[sem9.godziny]]&lt;$H$194,Tabela_podst[[#This Row],[sem9.forma]]="e"),1,AND(Tabela_podst[[#This Row],[sem9.godziny]]&gt;=$H$194,Tabela_podst[[#This Row],[sem9.forma]]="z"),2,AND(Tabela_podst[[#This Row],[sem9.godziny]]&lt;$H$194,Tabela_podst[[#This Row],[sem9.forma]]="z"),1,TRUE,""),"")</f>
        <v/>
      </c>
      <c r="AJ41" s="384"/>
      <c r="AK41" s="386"/>
      <c r="AL41" s="387" t="str" cm="1">
        <f t="array" ref="AL41">IF(Tabela_podst[[#This Row],[czy.ects]]="TAK",_xlfn.IFS(AND(Tabela_podst[[#This Row],[sem10.godziny]]&gt;=$Q$194,Tabela_podst[[#This Row],[sem10.forma]]="z"),8,AND(Tabela_podst[[#This Row],[sem10.godziny]]&gt;=$I$194,Tabela_podst[[#This Row],[sem10.forma]]="z"),4,AND(Tabela_podst[[#This Row],[sem10.godziny]]&gt;=$H$194,Tabela_podst[[#This Row],[sem10.forma]]="e"),2,AND(Tabela_podst[[#This Row],[sem10.godziny]]&lt;$H$194,Tabela_podst[[#This Row],[sem10.forma]]="e"),1,AND(Tabela_podst[[#This Row],[sem10.godziny]]&gt;=$H$194,Tabela_podst[[#This Row],[sem10.forma]]="z"),2,AND(Tabela_podst[[#This Row],[sem10.godziny]]&lt;$H$194,Tabela_podst[[#This Row],[sem10.forma]]="z"),1,TRUE,""),"")</f>
        <v/>
      </c>
      <c r="AM41" s="386"/>
      <c r="AN41" s="388">
        <f>SUM(Tabela_podst[[#This Row],[sem1.ects]],Tabela_podst[[#This Row],[sem2.ects]],Tabela_podst[[#This Row],[sem3.ects]],Tabela_podst[[#This Row],[sem4.ects]],Tabela_podst[[#This Row],[sem5.ects]],Tabela_podst[[#This Row],[sem6.ects]],Tabela_podst[[#This Row],[sem7.ects]],Tabela_podst[[#This Row],[sem8.ects]],Tabela_podst[[#This Row],[sem9.ects]],Tabela_podst[[#This Row],[sem10.ects]])</f>
        <v>1</v>
      </c>
      <c r="AO41" s="389">
        <f>IF(ISERR(SEARCH("UP",Tabela_podst[[#This Row],[Umiej.prakt.]],1)),0,Tabela_podst[[#This Row],[ects.razem]])</f>
        <v>1</v>
      </c>
      <c r="AP41" s="390">
        <f>IF(Tabela_podst[[#This Row],[czy.ects]]="TAK",ROUND((SUM(Tabela_podst[[#This Row],[godziny.konsultacja]],Tabela_podst[[#This Row],[godziny.egzamin]],Tabela_podst[[#This Row],[godziny.zajec.razem]])/25)/0.5,0)*0.5,0)</f>
        <v>0.5</v>
      </c>
      <c r="AQ41" s="391">
        <f>SUM(Tabela_podst[[#This Row],[godziny.samoksztalcenie]],Tabela_podst[[#This Row],[godziny.konsultacja]],Tabela_podst[[#This Row],[godziny.egzamin]],Tabela_podst[[#This Row],[godziny.zajec.razem]])</f>
        <v>27</v>
      </c>
      <c r="AR41" s="392">
        <f>INT(SUM(Tabela_podst[[#This Row],[godziny.konsultacja]],Tabela_podst[[#This Row],[godziny.egzamin]],Tabela_podst[[#This Row],[godziny.zajec.razem]])*0.5+Tabela_podst[[#This Row],[godziny.zajec.razem]]*(15-$G$194)/9)</f>
        <v>9</v>
      </c>
      <c r="AS41" s="393">
        <f>INT(Tabela_podst[[#This Row],[godziny.zajec.razem]]*0.1)</f>
        <v>1</v>
      </c>
      <c r="AT41" s="394">
        <f>IF(Tabela_podst[[#This Row],[godziny.zajec.razem]]&gt;0,IF(Tabela_podst[[#This Row],[godziny.zajec.razem]]&gt;=45,4,2),0)</f>
        <v>2</v>
      </c>
      <c r="AU41" s="395">
        <f>SUM(Tabela_podst[[#This Row],[sem1.godziny]],Tabela_podst[[#This Row],[sem2.godziny]],Tabela_podst[[#This Row],[sem3.godziny]],Tabela_podst[[#This Row],[sem4.godziny]],Tabela_podst[[#This Row],[sem5.godziny]],Tabela_podst[[#This Row],[sem6.godziny]],Tabela_podst[[#This Row],[sem7.godziny]],Tabela_podst[[#This Row],[sem8.godziny]],Tabela_podst[[#This Row],[sem9.godziny]],Tabela_podst[[#This Row],[sem10.godziny]])</f>
        <v>15</v>
      </c>
      <c r="AV41" s="396">
        <f>IF(Tabela_podst[[#This Row],[ects.bezposr.nauczyciel]],Tabela_podst[[#This Row],[ects.bezposr.nauczyciel]]/Tabela_podst[[#This Row],[ects.razem]],0)</f>
        <v>0.5</v>
      </c>
      <c r="AW41" s="49"/>
    </row>
    <row r="42" spans="1:49" ht="7.5" customHeight="1" thickBot="1" x14ac:dyDescent="0.35">
      <c r="A42" s="207"/>
      <c r="B42" s="559"/>
      <c r="C42" s="560"/>
      <c r="D42" s="561"/>
      <c r="E42" s="561"/>
      <c r="F42" s="562"/>
      <c r="G42" s="563"/>
      <c r="H42" s="564"/>
      <c r="I42" s="565"/>
      <c r="J42" s="502"/>
      <c r="K42" s="502"/>
      <c r="L42" s="566"/>
      <c r="M42" s="504"/>
      <c r="N42" s="504"/>
      <c r="O42" s="504"/>
      <c r="P42" s="567"/>
      <c r="Q42" s="506"/>
      <c r="R42" s="567"/>
      <c r="S42" s="508"/>
      <c r="T42" s="508"/>
      <c r="U42" s="508"/>
      <c r="V42" s="568"/>
      <c r="W42" s="568"/>
      <c r="X42" s="568"/>
      <c r="Y42" s="569"/>
      <c r="Z42" s="569"/>
      <c r="AA42" s="569"/>
      <c r="AB42" s="570"/>
      <c r="AC42" s="570"/>
      <c r="AD42" s="570"/>
      <c r="AE42" s="571"/>
      <c r="AF42" s="572"/>
      <c r="AG42" s="573"/>
      <c r="AH42" s="574"/>
      <c r="AI42" s="575"/>
      <c r="AJ42" s="576"/>
      <c r="AK42" s="566"/>
      <c r="AL42" s="577"/>
      <c r="AM42" s="578"/>
      <c r="AN42" s="520"/>
      <c r="AO42" s="521"/>
      <c r="AP42" s="521"/>
      <c r="AQ42" s="521"/>
      <c r="AR42" s="521"/>
      <c r="AS42" s="521"/>
      <c r="AT42" s="521"/>
      <c r="AU42" s="521"/>
      <c r="AV42" s="521"/>
      <c r="AW42" s="207"/>
    </row>
    <row r="43" spans="1:49" ht="17.25" customHeight="1" thickBot="1" x14ac:dyDescent="0.35">
      <c r="A43" s="207"/>
      <c r="B43" s="762" t="s">
        <v>42</v>
      </c>
      <c r="C43" s="771"/>
      <c r="D43" s="771"/>
      <c r="E43" s="771"/>
      <c r="F43" s="771"/>
      <c r="G43" s="771"/>
      <c r="H43" s="771"/>
      <c r="I43" s="771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  <c r="AG43" s="523"/>
      <c r="AH43" s="523"/>
      <c r="AI43" s="523"/>
      <c r="AJ43" s="523"/>
      <c r="AK43" s="523"/>
      <c r="AL43" s="523"/>
      <c r="AM43" s="523"/>
      <c r="AN43" s="523"/>
      <c r="AO43" s="523"/>
      <c r="AP43" s="523"/>
      <c r="AQ43" s="523"/>
      <c r="AR43" s="523"/>
      <c r="AS43" s="523"/>
      <c r="AT43" s="523"/>
      <c r="AU43" s="523"/>
      <c r="AV43" s="524"/>
      <c r="AW43" s="49"/>
    </row>
    <row r="44" spans="1:49" ht="25.5" customHeight="1" thickBot="1" x14ac:dyDescent="0.35">
      <c r="A44" s="207"/>
      <c r="B44" s="762" t="s">
        <v>429</v>
      </c>
      <c r="C44" s="763"/>
      <c r="D44" s="763"/>
      <c r="E44" s="763"/>
      <c r="F44" s="763"/>
      <c r="G44" s="763"/>
      <c r="H44" s="763"/>
      <c r="I44" s="763"/>
      <c r="J44" s="579">
        <f>SUM(Tabela_kier[sem1.godziny])</f>
        <v>75</v>
      </c>
      <c r="K44" s="579">
        <f>SUM(Tabela_kier[sem1.ects])</f>
        <v>7</v>
      </c>
      <c r="L44" s="579"/>
      <c r="M44" s="579">
        <f>SUM(Tabela_kier[sem2.godziny])</f>
        <v>350</v>
      </c>
      <c r="N44" s="579">
        <f>SUM(Tabela_kier[sem2.ects])</f>
        <v>21</v>
      </c>
      <c r="O44" s="579"/>
      <c r="P44" s="579">
        <f>SUM(Tabela_kier[sem3.godziny])</f>
        <v>395</v>
      </c>
      <c r="Q44" s="579">
        <f>SUM(Tabela_kier[sem3.ects])</f>
        <v>26</v>
      </c>
      <c r="R44" s="579"/>
      <c r="S44" s="579">
        <f>SUM(Tabela_kier[sem4.godziny])</f>
        <v>135</v>
      </c>
      <c r="T44" s="579">
        <f>SUM(Tabela_kier[sem4.ects])</f>
        <v>12</v>
      </c>
      <c r="U44" s="579"/>
      <c r="V44" s="579">
        <f>SUM(Tabela_kier[sem5.godziny])</f>
        <v>90</v>
      </c>
      <c r="W44" s="579">
        <f>SUM(Tabela_kier[sem5.ects])</f>
        <v>8</v>
      </c>
      <c r="X44" s="579"/>
      <c r="Y44" s="579">
        <f>SUM(Tabela_kier[sem6.godziny])</f>
        <v>120</v>
      </c>
      <c r="Z44" s="579">
        <f>SUM(Tabela_kier[sem6.ects])</f>
        <v>11</v>
      </c>
      <c r="AA44" s="579"/>
      <c r="AB44" s="579">
        <f>SUM(Tabela_kier[sem7.godziny])</f>
        <v>0</v>
      </c>
      <c r="AC44" s="579">
        <f>SUM(Tabela_kier[sem7.ects])</f>
        <v>0</v>
      </c>
      <c r="AD44" s="579"/>
      <c r="AE44" s="579">
        <f>SUM(Tabela_kier[sem5.godziny])</f>
        <v>90</v>
      </c>
      <c r="AF44" s="579">
        <f>SUM(Tabela_kier[sem5.ects])</f>
        <v>8</v>
      </c>
      <c r="AG44" s="579"/>
      <c r="AH44" s="579">
        <f>SUM(Tabela_kier[sem6.godziny])</f>
        <v>120</v>
      </c>
      <c r="AI44" s="579">
        <f>SUM(Tabela_kier[sem6.ects])</f>
        <v>11</v>
      </c>
      <c r="AJ44" s="579"/>
      <c r="AK44" s="579">
        <f>SUM(Tabela_kier[sem7.godziny])</f>
        <v>0</v>
      </c>
      <c r="AL44" s="579">
        <f>SUM(Tabela_kier[sem7.ects])</f>
        <v>0</v>
      </c>
      <c r="AM44" s="579"/>
      <c r="AN44" s="579">
        <f>SUM(Tabela_kier[ects.razem])</f>
        <v>85</v>
      </c>
      <c r="AO44" s="579">
        <f>SUM(Tabela_kier[ects.umiej.prakt.])</f>
        <v>59</v>
      </c>
      <c r="AP44" s="579">
        <f>SUM(Tabela_kier[ects.bezposr.nauczyciel])</f>
        <v>52.5</v>
      </c>
      <c r="AQ44" s="579">
        <f>SUM(Tabela_kier[godziny.razem.student])</f>
        <v>2001</v>
      </c>
      <c r="AR44" s="579">
        <f>SUM(Tabela_kier[godziny.samoksztalcenie])</f>
        <v>660</v>
      </c>
      <c r="AS44" s="579">
        <f>SUM(Tabela_kier[godziny.konsultacja])</f>
        <v>112</v>
      </c>
      <c r="AT44" s="579">
        <f>SUM(Tabela_kier[godziny.egzamin])</f>
        <v>64</v>
      </c>
      <c r="AU44" s="579">
        <f>SUM(Tabela_kier[godziny.zajec.razem])</f>
        <v>1165</v>
      </c>
      <c r="AV44" s="465"/>
      <c r="AW44" s="49"/>
    </row>
    <row r="45" spans="1:49" ht="25.5" hidden="1" customHeight="1" x14ac:dyDescent="0.3">
      <c r="A45" s="207"/>
      <c r="B45" s="580" t="s">
        <v>374</v>
      </c>
      <c r="C45" s="581" t="s">
        <v>373</v>
      </c>
      <c r="D45" s="527" t="s">
        <v>372</v>
      </c>
      <c r="E45" s="527" t="s">
        <v>371</v>
      </c>
      <c r="F45" s="582" t="s">
        <v>368</v>
      </c>
      <c r="G45" s="583" t="s">
        <v>369</v>
      </c>
      <c r="H45" s="530" t="s">
        <v>370</v>
      </c>
      <c r="I45" s="531" t="s">
        <v>375</v>
      </c>
      <c r="J45" s="532" t="s">
        <v>376</v>
      </c>
      <c r="K45" s="533" t="s">
        <v>377</v>
      </c>
      <c r="L45" s="534" t="s">
        <v>378</v>
      </c>
      <c r="M45" s="535" t="s">
        <v>379</v>
      </c>
      <c r="N45" s="536" t="s">
        <v>380</v>
      </c>
      <c r="O45" s="535" t="s">
        <v>381</v>
      </c>
      <c r="P45" s="537" t="s">
        <v>382</v>
      </c>
      <c r="Q45" s="538" t="s">
        <v>383</v>
      </c>
      <c r="R45" s="537" t="s">
        <v>384</v>
      </c>
      <c r="S45" s="539" t="s">
        <v>385</v>
      </c>
      <c r="T45" s="540" t="s">
        <v>386</v>
      </c>
      <c r="U45" s="539" t="s">
        <v>387</v>
      </c>
      <c r="V45" s="541" t="s">
        <v>388</v>
      </c>
      <c r="W45" s="542" t="s">
        <v>389</v>
      </c>
      <c r="X45" s="541" t="s">
        <v>390</v>
      </c>
      <c r="Y45" s="543" t="s">
        <v>391</v>
      </c>
      <c r="Z45" s="544" t="s">
        <v>392</v>
      </c>
      <c r="AA45" s="543" t="s">
        <v>393</v>
      </c>
      <c r="AB45" s="545" t="s">
        <v>394</v>
      </c>
      <c r="AC45" s="546" t="s">
        <v>395</v>
      </c>
      <c r="AD45" s="545" t="s">
        <v>396</v>
      </c>
      <c r="AE45" s="383" t="s">
        <v>409</v>
      </c>
      <c r="AF45" s="383" t="s">
        <v>410</v>
      </c>
      <c r="AG45" s="383" t="s">
        <v>411</v>
      </c>
      <c r="AH45" s="385" t="s">
        <v>412</v>
      </c>
      <c r="AI45" s="385" t="s">
        <v>413</v>
      </c>
      <c r="AJ45" s="385" t="s">
        <v>414</v>
      </c>
      <c r="AK45" s="387" t="s">
        <v>415</v>
      </c>
      <c r="AL45" s="387" t="s">
        <v>416</v>
      </c>
      <c r="AM45" s="387" t="s">
        <v>417</v>
      </c>
      <c r="AN45" s="550" t="s">
        <v>397</v>
      </c>
      <c r="AO45" s="551" t="s">
        <v>398</v>
      </c>
      <c r="AP45" s="552" t="s">
        <v>399</v>
      </c>
      <c r="AQ45" s="553" t="s">
        <v>400</v>
      </c>
      <c r="AR45" s="554" t="s">
        <v>401</v>
      </c>
      <c r="AS45" s="555" t="s">
        <v>402</v>
      </c>
      <c r="AT45" s="556" t="s">
        <v>403</v>
      </c>
      <c r="AU45" s="557" t="s">
        <v>404</v>
      </c>
      <c r="AV45" s="558" t="s">
        <v>405</v>
      </c>
      <c r="AW45" s="49"/>
    </row>
    <row r="46" spans="1:49" ht="25.5" customHeight="1" x14ac:dyDescent="0.3">
      <c r="A46" s="207"/>
      <c r="B46" s="397" t="s">
        <v>482</v>
      </c>
      <c r="C46" s="398" t="s">
        <v>486</v>
      </c>
      <c r="D46" s="362" t="s">
        <v>487</v>
      </c>
      <c r="E46" s="362"/>
      <c r="F46" s="364" t="s">
        <v>488</v>
      </c>
      <c r="G46" s="365"/>
      <c r="H46" s="366" t="s">
        <v>38</v>
      </c>
      <c r="I46" s="367" t="s">
        <v>32</v>
      </c>
      <c r="J46" s="368">
        <v>15</v>
      </c>
      <c r="K46" s="369" cm="1">
        <f t="array" ref="K46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>1</v>
      </c>
      <c r="L46" s="368" t="s">
        <v>41</v>
      </c>
      <c r="M46" s="370"/>
      <c r="N46" s="371" t="str" cm="1">
        <f t="array" ref="N46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46" s="370"/>
      <c r="P46" s="372"/>
      <c r="Q46" s="373" t="str" cm="1">
        <f t="array" ref="Q46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46" s="372"/>
      <c r="S46" s="374"/>
      <c r="T46" s="375" t="str" cm="1">
        <f t="array" ref="T46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46" s="374"/>
      <c r="V46" s="673"/>
      <c r="W46" s="445" t="str" cm="1">
        <f t="array" ref="W46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46" s="673"/>
      <c r="Y46" s="674"/>
      <c r="Z46" s="446" t="str" cm="1">
        <f t="array" ref="Z46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46" s="674"/>
      <c r="AB46" s="380"/>
      <c r="AC46" s="381" t="str" cm="1">
        <f t="array" ref="AC46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46" s="380"/>
      <c r="AE46" s="382"/>
      <c r="AF46" s="383" t="str" cm="1">
        <f t="array" ref="AF46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46" s="382"/>
      <c r="AH46" s="384"/>
      <c r="AI46" s="385" t="str" cm="1">
        <f t="array" ref="AI46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46" s="384"/>
      <c r="AK46" s="386"/>
      <c r="AL46" s="387" t="str" cm="1">
        <f t="array" ref="AL46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46" s="386"/>
      <c r="AN46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46" s="389">
        <f>IF(ISERR(SEARCH("UP",Tabela_kier[[#This Row],[Umiej.prakt.]],1)),0,Tabela_kier[[#This Row],[ects.razem]])</f>
        <v>0</v>
      </c>
      <c r="AP46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46" s="391">
        <f>SUM(Tabela_kier[[#This Row],[godziny.samoksztalcenie]],Tabela_kier[[#This Row],[godziny.konsultacja]],Tabela_kier[[#This Row],[godziny.egzamin]],Tabela_kier[[#This Row],[godziny.zajec.razem]])</f>
        <v>27</v>
      </c>
      <c r="AR46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46" s="393">
        <f>INT(Tabela_kier[[#This Row],[godziny.zajec.razem]]*0.1)</f>
        <v>1</v>
      </c>
      <c r="AT46" s="394">
        <f>IF(Tabela_kier[[#This Row],[godziny.zajec.razem]]&gt;0,IF(Tabela_kier[[#This Row],[godziny.zajec.razem]]&gt;=45,4,2),0)</f>
        <v>2</v>
      </c>
      <c r="AU46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46" s="396">
        <f>IF(Tabela_kier[[#This Row],[ects.bezposr.nauczyciel]],Tabela_kier[[#This Row],[ects.bezposr.nauczyciel]]/Tabela_kier[[#This Row],[ects.razem]],0)</f>
        <v>0.5</v>
      </c>
      <c r="AW46" s="49"/>
    </row>
    <row r="47" spans="1:49" ht="25.5" customHeight="1" x14ac:dyDescent="0.3">
      <c r="A47" s="207"/>
      <c r="B47" s="397" t="s">
        <v>482</v>
      </c>
      <c r="C47" s="398" t="s">
        <v>486</v>
      </c>
      <c r="D47" s="362" t="s">
        <v>489</v>
      </c>
      <c r="E47" s="362"/>
      <c r="F47" s="364" t="s">
        <v>488</v>
      </c>
      <c r="G47" s="365"/>
      <c r="H47" s="366" t="s">
        <v>31</v>
      </c>
      <c r="I47" s="367" t="s">
        <v>32</v>
      </c>
      <c r="J47" s="368">
        <v>30</v>
      </c>
      <c r="K47" s="369">
        <v>3</v>
      </c>
      <c r="L47" s="368" t="s">
        <v>33</v>
      </c>
      <c r="M47" s="370"/>
      <c r="N47" s="371" t="str" cm="1">
        <f t="array" ref="N47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47" s="370"/>
      <c r="P47" s="372"/>
      <c r="Q47" s="373" t="str" cm="1">
        <f t="array" ref="Q47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47" s="372"/>
      <c r="S47" s="374"/>
      <c r="T47" s="375" t="str" cm="1">
        <f t="array" ref="T47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47" s="374"/>
      <c r="V47" s="673"/>
      <c r="W47" s="445" t="str" cm="1">
        <f t="array" ref="W47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47" s="673"/>
      <c r="Y47" s="674"/>
      <c r="Z47" s="446" t="str" cm="1">
        <f t="array" ref="Z47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47" s="674"/>
      <c r="AB47" s="380"/>
      <c r="AC47" s="381" t="str" cm="1">
        <f t="array" ref="AC47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47" s="380"/>
      <c r="AE47" s="382"/>
      <c r="AF47" s="383" t="str" cm="1">
        <f t="array" ref="AF47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47" s="382"/>
      <c r="AH47" s="384"/>
      <c r="AI47" s="385" t="str" cm="1">
        <f t="array" ref="AI47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47" s="384"/>
      <c r="AK47" s="386"/>
      <c r="AL47" s="387" t="str" cm="1">
        <f t="array" ref="AL47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47" s="386"/>
      <c r="AN47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47" s="389">
        <f>IF(ISERR(SEARCH("UP",Tabela_kier[[#This Row],[Umiej.prakt.]],1)),0,Tabela_kier[[#This Row],[ects.razem]])</f>
        <v>0</v>
      </c>
      <c r="AP47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47" s="391">
        <f>SUM(Tabela_kier[[#This Row],[godziny.samoksztalcenie]],Tabela_kier[[#This Row],[godziny.konsultacja]],Tabela_kier[[#This Row],[godziny.egzamin]],Tabela_kier[[#This Row],[godziny.zajec.razem]])</f>
        <v>52</v>
      </c>
      <c r="AR47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47" s="393">
        <f>INT(Tabela_kier[[#This Row],[godziny.zajec.razem]]*0.1)</f>
        <v>3</v>
      </c>
      <c r="AT47" s="394">
        <f>IF(Tabela_kier[[#This Row],[godziny.zajec.razem]]&gt;0,IF(Tabela_kier[[#This Row],[godziny.zajec.razem]]&gt;=45,4,2),0)</f>
        <v>2</v>
      </c>
      <c r="AU47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47" s="396">
        <f>IF(Tabela_kier[[#This Row],[ects.bezposr.nauczyciel]],Tabela_kier[[#This Row],[ects.bezposr.nauczyciel]]/Tabela_kier[[#This Row],[ects.razem]],0)</f>
        <v>0.5</v>
      </c>
      <c r="AW47" s="49"/>
    </row>
    <row r="48" spans="1:49" ht="25.5" customHeight="1" x14ac:dyDescent="0.3">
      <c r="A48" s="207"/>
      <c r="B48" s="397" t="s">
        <v>471</v>
      </c>
      <c r="C48" s="584">
        <v>504</v>
      </c>
      <c r="D48" s="362" t="s">
        <v>491</v>
      </c>
      <c r="E48" s="362" t="s">
        <v>604</v>
      </c>
      <c r="F48" s="401" t="s">
        <v>530</v>
      </c>
      <c r="G48" s="365"/>
      <c r="H48" s="366" t="s">
        <v>37</v>
      </c>
      <c r="I48" s="367" t="s">
        <v>32</v>
      </c>
      <c r="J48" s="368">
        <v>30</v>
      </c>
      <c r="K48" s="369">
        <v>3</v>
      </c>
      <c r="L48" s="368" t="s">
        <v>33</v>
      </c>
      <c r="M48" s="370"/>
      <c r="N48" s="371" t="str" cm="1">
        <f t="array" ref="N48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48" s="370"/>
      <c r="P48" s="372"/>
      <c r="Q48" s="373" t="str" cm="1">
        <f t="array" ref="Q48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48" s="372"/>
      <c r="S48" s="374"/>
      <c r="T48" s="375" t="str" cm="1">
        <f t="array" ref="T48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48" s="374"/>
      <c r="V48" s="673"/>
      <c r="W48" s="445" t="str" cm="1">
        <f t="array" ref="W48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48" s="673"/>
      <c r="Y48" s="674"/>
      <c r="Z48" s="446" t="str" cm="1">
        <f t="array" ref="Z48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48" s="674"/>
      <c r="AB48" s="380"/>
      <c r="AC48" s="381" t="str" cm="1">
        <f t="array" ref="AC48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48" s="380"/>
      <c r="AE48" s="382"/>
      <c r="AF48" s="383" t="str" cm="1">
        <f t="array" ref="AF48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48" s="382"/>
      <c r="AH48" s="384"/>
      <c r="AI48" s="385" t="str" cm="1">
        <f t="array" ref="AI48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48" s="384"/>
      <c r="AK48" s="386"/>
      <c r="AL48" s="387" t="str" cm="1">
        <f t="array" ref="AL48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48" s="386"/>
      <c r="AN48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48" s="389">
        <f>IF(ISERR(SEARCH("UP",Tabela_kier[[#This Row],[Umiej.prakt.]],1)),0,Tabela_kier[[#This Row],[ects.razem]])</f>
        <v>3</v>
      </c>
      <c r="AP48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48" s="391">
        <f>SUM(Tabela_kier[[#This Row],[godziny.samoksztalcenie]],Tabela_kier[[#This Row],[godziny.konsultacja]],Tabela_kier[[#This Row],[godziny.egzamin]],Tabela_kier[[#This Row],[godziny.zajec.razem]])</f>
        <v>52</v>
      </c>
      <c r="AR48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48" s="393">
        <f>INT(Tabela_kier[[#This Row],[godziny.zajec.razem]]*0.1)</f>
        <v>3</v>
      </c>
      <c r="AT48" s="394">
        <f>IF(Tabela_kier[[#This Row],[godziny.zajec.razem]]&gt;0,IF(Tabela_kier[[#This Row],[godziny.zajec.razem]]&gt;=45,4,2),0)</f>
        <v>2</v>
      </c>
      <c r="AU48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48" s="396">
        <f>IF(Tabela_kier[[#This Row],[ects.bezposr.nauczyciel]],Tabela_kier[[#This Row],[ects.bezposr.nauczyciel]]/Tabela_kier[[#This Row],[ects.razem]],0)</f>
        <v>0.5</v>
      </c>
      <c r="AW48" s="49"/>
    </row>
    <row r="49" spans="1:49" ht="25.5" customHeight="1" x14ac:dyDescent="0.3">
      <c r="A49" s="207"/>
      <c r="B49" s="397" t="s">
        <v>490</v>
      </c>
      <c r="C49" s="584">
        <v>501</v>
      </c>
      <c r="D49" s="362" t="s">
        <v>493</v>
      </c>
      <c r="E49" s="362" t="s">
        <v>604</v>
      </c>
      <c r="F49" s="364" t="s">
        <v>492</v>
      </c>
      <c r="G49" s="365"/>
      <c r="H49" s="366" t="s">
        <v>37</v>
      </c>
      <c r="I49" s="367" t="s">
        <v>32</v>
      </c>
      <c r="J49" s="368"/>
      <c r="K49" s="369" t="str" cm="1">
        <f t="array" ref="K49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49" s="368"/>
      <c r="M49" s="370">
        <v>15</v>
      </c>
      <c r="N49" s="371" cm="1">
        <f t="array" ref="N49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>1</v>
      </c>
      <c r="O49" s="370" t="s">
        <v>41</v>
      </c>
      <c r="P49" s="372"/>
      <c r="Q49" s="373" t="str" cm="1">
        <f t="array" ref="Q49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49" s="372"/>
      <c r="S49" s="374"/>
      <c r="T49" s="375" t="str" cm="1">
        <f t="array" ref="T49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49" s="374"/>
      <c r="V49" s="376"/>
      <c r="W49" s="377" t="str" cm="1">
        <f t="array" ref="W49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49" s="376"/>
      <c r="Y49" s="378"/>
      <c r="Z49" s="379" t="str" cm="1">
        <f t="array" ref="Z49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49" s="378"/>
      <c r="AB49" s="380"/>
      <c r="AC49" s="381" t="str" cm="1">
        <f t="array" ref="AC49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49" s="380"/>
      <c r="AE49" s="382"/>
      <c r="AF49" s="383" t="str" cm="1">
        <f t="array" ref="AF49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49" s="382"/>
      <c r="AH49" s="384"/>
      <c r="AI49" s="385" t="str" cm="1">
        <f t="array" ref="AI49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49" s="384"/>
      <c r="AK49" s="386"/>
      <c r="AL49" s="387" t="str" cm="1">
        <f t="array" ref="AL49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49" s="386"/>
      <c r="AN49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49" s="389">
        <f>IF(ISERR(SEARCH("UP",Tabela_kier[[#This Row],[Umiej.prakt.]],1)),0,Tabela_kier[[#This Row],[ects.razem]])</f>
        <v>1</v>
      </c>
      <c r="AP49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49" s="391">
        <f>SUM(Tabela_kier[[#This Row],[godziny.samoksztalcenie]],Tabela_kier[[#This Row],[godziny.konsultacja]],Tabela_kier[[#This Row],[godziny.egzamin]],Tabela_kier[[#This Row],[godziny.zajec.razem]])</f>
        <v>27</v>
      </c>
      <c r="AR49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49" s="393">
        <f>INT(Tabela_kier[[#This Row],[godziny.zajec.razem]]*0.1)</f>
        <v>1</v>
      </c>
      <c r="AT49" s="394">
        <f>IF(Tabela_kier[[#This Row],[godziny.zajec.razem]]&gt;0,IF(Tabela_kier[[#This Row],[godziny.zajec.razem]]&gt;=45,4,2),0)</f>
        <v>2</v>
      </c>
      <c r="AU49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49" s="396">
        <f>IF(Tabela_kier[[#This Row],[ects.bezposr.nauczyciel]],Tabela_kier[[#This Row],[ects.bezposr.nauczyciel]]/Tabela_kier[[#This Row],[ects.razem]],0)</f>
        <v>0.5</v>
      </c>
      <c r="AW49" s="49"/>
    </row>
    <row r="50" spans="1:49" ht="25.5" customHeight="1" x14ac:dyDescent="0.3">
      <c r="A50" s="207"/>
      <c r="B50" s="397" t="s">
        <v>490</v>
      </c>
      <c r="C50" s="584">
        <v>501</v>
      </c>
      <c r="D50" s="362" t="s">
        <v>494</v>
      </c>
      <c r="E50" s="362" t="s">
        <v>604</v>
      </c>
      <c r="F50" s="364" t="s">
        <v>492</v>
      </c>
      <c r="G50" s="365"/>
      <c r="H50" s="366" t="s">
        <v>31</v>
      </c>
      <c r="I50" s="367" t="s">
        <v>32</v>
      </c>
      <c r="J50" s="368"/>
      <c r="K50" s="369" t="str" cm="1">
        <f t="array" ref="K50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0" s="368"/>
      <c r="M50" s="370">
        <v>30</v>
      </c>
      <c r="N50" s="371">
        <v>3</v>
      </c>
      <c r="O50" s="370" t="s">
        <v>33</v>
      </c>
      <c r="P50" s="372"/>
      <c r="Q50" s="373" t="str" cm="1">
        <f t="array" ref="Q50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50" s="372"/>
      <c r="S50" s="374"/>
      <c r="T50" s="375" t="str" cm="1">
        <f t="array" ref="T50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0" s="374"/>
      <c r="V50" s="376"/>
      <c r="W50" s="377" t="str" cm="1">
        <f t="array" ref="W50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0" s="376"/>
      <c r="Y50" s="378"/>
      <c r="Z50" s="379" t="str" cm="1">
        <f t="array" ref="Z50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0" s="378"/>
      <c r="AB50" s="380"/>
      <c r="AC50" s="381" t="str" cm="1">
        <f t="array" ref="AC50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0" s="380"/>
      <c r="AE50" s="382"/>
      <c r="AF50" s="383" t="str" cm="1">
        <f t="array" ref="AF50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0" s="382"/>
      <c r="AH50" s="384"/>
      <c r="AI50" s="385" t="str" cm="1">
        <f t="array" ref="AI50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0" s="384"/>
      <c r="AK50" s="386"/>
      <c r="AL50" s="387" t="str" cm="1">
        <f t="array" ref="AL50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0" s="386"/>
      <c r="AN50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0" s="389">
        <f>IF(ISERR(SEARCH("UP",Tabela_kier[[#This Row],[Umiej.prakt.]],1)),0,Tabela_kier[[#This Row],[ects.razem]])</f>
        <v>3</v>
      </c>
      <c r="AP50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0" s="391">
        <f>SUM(Tabela_kier[[#This Row],[godziny.samoksztalcenie]],Tabela_kier[[#This Row],[godziny.konsultacja]],Tabela_kier[[#This Row],[godziny.egzamin]],Tabela_kier[[#This Row],[godziny.zajec.razem]])</f>
        <v>52</v>
      </c>
      <c r="AR50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0" s="393">
        <f>INT(Tabela_kier[[#This Row],[godziny.zajec.razem]]*0.1)</f>
        <v>3</v>
      </c>
      <c r="AT50" s="394">
        <f>IF(Tabela_kier[[#This Row],[godziny.zajec.razem]]&gt;0,IF(Tabela_kier[[#This Row],[godziny.zajec.razem]]&gt;=45,4,2),0)</f>
        <v>2</v>
      </c>
      <c r="AU50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0" s="396">
        <f>IF(Tabela_kier[[#This Row],[ects.bezposr.nauczyciel]],Tabela_kier[[#This Row],[ects.bezposr.nauczyciel]]/Tabela_kier[[#This Row],[ects.razem]],0)</f>
        <v>0.5</v>
      </c>
      <c r="AW50" s="49"/>
    </row>
    <row r="51" spans="1:49" ht="25.5" customHeight="1" x14ac:dyDescent="0.3">
      <c r="A51" s="207"/>
      <c r="B51" s="397" t="s">
        <v>490</v>
      </c>
      <c r="C51" s="584">
        <v>501</v>
      </c>
      <c r="D51" s="362" t="s">
        <v>496</v>
      </c>
      <c r="E51" s="362" t="s">
        <v>604</v>
      </c>
      <c r="F51" s="364" t="s">
        <v>495</v>
      </c>
      <c r="G51" s="365"/>
      <c r="H51" s="366" t="s">
        <v>37</v>
      </c>
      <c r="I51" s="367" t="s">
        <v>32</v>
      </c>
      <c r="J51" s="368"/>
      <c r="K51" s="369" t="str" cm="1">
        <f t="array" ref="K51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1" s="368"/>
      <c r="M51" s="370">
        <v>30</v>
      </c>
      <c r="N51" s="371">
        <v>3</v>
      </c>
      <c r="O51" s="370" t="s">
        <v>41</v>
      </c>
      <c r="P51" s="372"/>
      <c r="Q51" s="373" t="str" cm="1">
        <f t="array" ref="Q51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51" s="372"/>
      <c r="S51" s="374"/>
      <c r="T51" s="375" t="str" cm="1">
        <f t="array" ref="T51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1" s="374"/>
      <c r="V51" s="376"/>
      <c r="W51" s="377" t="str" cm="1">
        <f t="array" ref="W51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1" s="376"/>
      <c r="Y51" s="378"/>
      <c r="Z51" s="379" t="str" cm="1">
        <f t="array" ref="Z51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1" s="378"/>
      <c r="AB51" s="380"/>
      <c r="AC51" s="381" t="str" cm="1">
        <f t="array" ref="AC51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1" s="380"/>
      <c r="AE51" s="382"/>
      <c r="AF51" s="383" t="str" cm="1">
        <f t="array" ref="AF51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1" s="382"/>
      <c r="AH51" s="384"/>
      <c r="AI51" s="385" t="str" cm="1">
        <f t="array" ref="AI51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1" s="384"/>
      <c r="AK51" s="386"/>
      <c r="AL51" s="387" t="str" cm="1">
        <f t="array" ref="AL51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1" s="386"/>
      <c r="AN51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1" s="389">
        <f>IF(ISERR(SEARCH("UP",Tabela_kier[[#This Row],[Umiej.prakt.]],1)),0,Tabela_kier[[#This Row],[ects.razem]])</f>
        <v>3</v>
      </c>
      <c r="AP51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1" s="391">
        <f>SUM(Tabela_kier[[#This Row],[godziny.samoksztalcenie]],Tabela_kier[[#This Row],[godziny.konsultacja]],Tabela_kier[[#This Row],[godziny.egzamin]],Tabela_kier[[#This Row],[godziny.zajec.razem]])</f>
        <v>52</v>
      </c>
      <c r="AR51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1" s="393">
        <f>INT(Tabela_kier[[#This Row],[godziny.zajec.razem]]*0.1)</f>
        <v>3</v>
      </c>
      <c r="AT51" s="394">
        <f>IF(Tabela_kier[[#This Row],[godziny.zajec.razem]]&gt;0,IF(Tabela_kier[[#This Row],[godziny.zajec.razem]]&gt;=45,4,2),0)</f>
        <v>2</v>
      </c>
      <c r="AU51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1" s="396">
        <f>IF(Tabela_kier[[#This Row],[ects.bezposr.nauczyciel]],Tabela_kier[[#This Row],[ects.bezposr.nauczyciel]]/Tabela_kier[[#This Row],[ects.razem]],0)</f>
        <v>0.5</v>
      </c>
      <c r="AW51" s="49"/>
    </row>
    <row r="52" spans="1:49" ht="25.5" customHeight="1" x14ac:dyDescent="0.3">
      <c r="A52" s="207"/>
      <c r="B52" s="397" t="s">
        <v>490</v>
      </c>
      <c r="C52" s="584">
        <v>501</v>
      </c>
      <c r="D52" s="362" t="s">
        <v>497</v>
      </c>
      <c r="E52" s="362" t="s">
        <v>604</v>
      </c>
      <c r="F52" s="364" t="s">
        <v>495</v>
      </c>
      <c r="G52" s="365"/>
      <c r="H52" s="366" t="s">
        <v>31</v>
      </c>
      <c r="I52" s="367" t="s">
        <v>32</v>
      </c>
      <c r="J52" s="368"/>
      <c r="K52" s="369" t="str" cm="1">
        <f t="array" ref="K52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2" s="368"/>
      <c r="M52" s="370">
        <v>30</v>
      </c>
      <c r="N52" s="371">
        <v>3</v>
      </c>
      <c r="O52" s="370" t="s">
        <v>33</v>
      </c>
      <c r="P52" s="372"/>
      <c r="Q52" s="373" t="str" cm="1">
        <f t="array" ref="Q52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52" s="372"/>
      <c r="S52" s="374"/>
      <c r="T52" s="375" t="str" cm="1">
        <f t="array" ref="T52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2" s="374"/>
      <c r="V52" s="376"/>
      <c r="W52" s="377" t="str" cm="1">
        <f t="array" ref="W52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2" s="376"/>
      <c r="Y52" s="378"/>
      <c r="Z52" s="379" t="str" cm="1">
        <f t="array" ref="Z52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2" s="378"/>
      <c r="AB52" s="380"/>
      <c r="AC52" s="381" t="str" cm="1">
        <f t="array" ref="AC52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2" s="380"/>
      <c r="AE52" s="382"/>
      <c r="AF52" s="383" t="str" cm="1">
        <f t="array" ref="AF52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2" s="382"/>
      <c r="AH52" s="384"/>
      <c r="AI52" s="385" t="str" cm="1">
        <f t="array" ref="AI52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2" s="384"/>
      <c r="AK52" s="386"/>
      <c r="AL52" s="387" t="str" cm="1">
        <f t="array" ref="AL52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2" s="386"/>
      <c r="AN52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2" s="389">
        <f>IF(ISERR(SEARCH("UP",Tabela_kier[[#This Row],[Umiej.prakt.]],1)),0,Tabela_kier[[#This Row],[ects.razem]])</f>
        <v>3</v>
      </c>
      <c r="AP52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2" s="391">
        <f>SUM(Tabela_kier[[#This Row],[godziny.samoksztalcenie]],Tabela_kier[[#This Row],[godziny.konsultacja]],Tabela_kier[[#This Row],[godziny.egzamin]],Tabela_kier[[#This Row],[godziny.zajec.razem]])</f>
        <v>52</v>
      </c>
      <c r="AR52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2" s="393">
        <f>INT(Tabela_kier[[#This Row],[godziny.zajec.razem]]*0.1)</f>
        <v>3</v>
      </c>
      <c r="AT52" s="394">
        <f>IF(Tabela_kier[[#This Row],[godziny.zajec.razem]]&gt;0,IF(Tabela_kier[[#This Row],[godziny.zajec.razem]]&gt;=45,4,2),0)</f>
        <v>2</v>
      </c>
      <c r="AU52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2" s="396">
        <f>IF(Tabela_kier[[#This Row],[ects.bezposr.nauczyciel]],Tabela_kier[[#This Row],[ects.bezposr.nauczyciel]]/Tabela_kier[[#This Row],[ects.razem]],0)</f>
        <v>0.5</v>
      </c>
      <c r="AW52" s="49"/>
    </row>
    <row r="53" spans="1:49" ht="24.95" customHeight="1" x14ac:dyDescent="0.3">
      <c r="A53" s="207"/>
      <c r="B53" s="695" t="s">
        <v>482</v>
      </c>
      <c r="C53" s="696">
        <v>501</v>
      </c>
      <c r="D53" s="697" t="s">
        <v>499</v>
      </c>
      <c r="E53" s="697"/>
      <c r="F53" s="698" t="s">
        <v>511</v>
      </c>
      <c r="G53" s="699"/>
      <c r="H53" s="700" t="s">
        <v>37</v>
      </c>
      <c r="I53" s="701" t="s">
        <v>32</v>
      </c>
      <c r="J53" s="702"/>
      <c r="K53" s="703" t="str" cm="1">
        <f t="array" ref="K53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3" s="702"/>
      <c r="M53" s="704">
        <v>30</v>
      </c>
      <c r="N53" s="705">
        <v>3</v>
      </c>
      <c r="O53" s="704" t="s">
        <v>33</v>
      </c>
      <c r="P53" s="706"/>
      <c r="Q53" s="707" t="str" cm="1">
        <f t="array" ref="Q53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53" s="706"/>
      <c r="S53" s="708"/>
      <c r="T53" s="709" t="str" cm="1">
        <f t="array" ref="T53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3" s="708"/>
      <c r="V53" s="710"/>
      <c r="W53" s="711"/>
      <c r="X53" s="710"/>
      <c r="Y53" s="712"/>
      <c r="Z53" s="713" t="str" cm="1">
        <f t="array" ref="Z53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3" s="712"/>
      <c r="AB53" s="714"/>
      <c r="AC53" s="715" t="str" cm="1">
        <f t="array" ref="AC53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3" s="714"/>
      <c r="AE53" s="716"/>
      <c r="AF53" s="717" t="str" cm="1">
        <f t="array" ref="AF53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3" s="716"/>
      <c r="AH53" s="718"/>
      <c r="AI53" s="719" t="str" cm="1">
        <f t="array" ref="AI53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3" s="718"/>
      <c r="AK53" s="720"/>
      <c r="AL53" s="721" t="str" cm="1">
        <f t="array" ref="AL53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3" s="720"/>
      <c r="AN53" s="722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3" s="723">
        <f>IF(ISERR(SEARCH("UP",Tabela_kier[[#This Row],[Umiej.prakt.]],1)),0,Tabela_kier[[#This Row],[ects.razem]])</f>
        <v>0</v>
      </c>
      <c r="AP53" s="724">
        <f>IF(Tabela_kier[[#This Row],[czy.ects]]="TAK",ROUND((SUM(Tabela_kier[[#This Row],[godziny.konsultacja]],Tabela_kier[[#This Row],[godziny.egzamin]],Tabela_kier[[#This Row],[godziny.zajec.razem]])/25)/0.5,0)*0.5,0)</f>
        <v>1.5</v>
      </c>
      <c r="AQ53" s="725">
        <f>SUM(Tabela_kier[[#This Row],[godziny.samoksztalcenie]],Tabela_kier[[#This Row],[godziny.konsultacja]],Tabela_kier[[#This Row],[godziny.egzamin]],Tabela_kier[[#This Row],[godziny.zajec.razem]])</f>
        <v>52</v>
      </c>
      <c r="AR53" s="726">
        <f>INT(SUM(Tabela_kier[[#This Row],[godziny.konsultacja]],Tabela_kier[[#This Row],[godziny.egzamin]],Tabela_kier[[#This Row],[godziny.zajec.razem]])*0.5+Tabela_kier[[#This Row],[godziny.zajec.razem]]*(15-$G$194)/9)</f>
        <v>17</v>
      </c>
      <c r="AS53" s="727">
        <f>INT(Tabela_kier[[#This Row],[godziny.zajec.razem]]*0.1)</f>
        <v>3</v>
      </c>
      <c r="AT53" s="728">
        <f>IF(Tabela_kier[[#This Row],[godziny.zajec.razem]]&gt;0,IF(Tabela_kier[[#This Row],[godziny.zajec.razem]]&gt;=45,4,2),0)</f>
        <v>2</v>
      </c>
      <c r="AU53" s="729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3" s="730">
        <f>IF(Tabela_kier[[#This Row],[ects.bezposr.nauczyciel]],Tabela_kier[[#This Row],[ects.bezposr.nauczyciel]]/Tabela_kier[[#This Row],[ects.razem]],0)</f>
        <v>0.5</v>
      </c>
      <c r="AW53" s="731"/>
    </row>
    <row r="54" spans="1:49" ht="25.5" customHeight="1" x14ac:dyDescent="0.3">
      <c r="A54" s="207"/>
      <c r="B54" s="684" t="s">
        <v>482</v>
      </c>
      <c r="C54" s="685">
        <v>501</v>
      </c>
      <c r="D54" s="467" t="s">
        <v>501</v>
      </c>
      <c r="E54" s="467"/>
      <c r="F54" s="468" t="s">
        <v>498</v>
      </c>
      <c r="G54" s="469"/>
      <c r="H54" s="470" t="s">
        <v>37</v>
      </c>
      <c r="I54" s="471" t="s">
        <v>32</v>
      </c>
      <c r="J54" s="472"/>
      <c r="K54" s="473" t="str" cm="1">
        <f t="array" ref="K54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4" s="472"/>
      <c r="M54" s="474"/>
      <c r="N54" s="475" t="str" cm="1">
        <f t="array" ref="N54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54" s="474"/>
      <c r="P54" s="476">
        <v>30</v>
      </c>
      <c r="Q54" s="477">
        <v>3</v>
      </c>
      <c r="R54" s="476" t="s">
        <v>41</v>
      </c>
      <c r="S54" s="478"/>
      <c r="T54" s="479" t="str" cm="1">
        <f t="array" ref="T54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4" s="478"/>
      <c r="V54" s="627"/>
      <c r="W54" s="628" t="str" cm="1">
        <f t="array" ref="W54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4" s="627"/>
      <c r="Y54" s="629"/>
      <c r="Z54" s="630" t="str" cm="1">
        <f t="array" ref="Z54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4" s="629"/>
      <c r="AB54" s="631"/>
      <c r="AC54" s="632" t="str" cm="1">
        <f t="array" ref="AC54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4" s="631"/>
      <c r="AE54" s="686"/>
      <c r="AF54" s="687" t="str" cm="1">
        <f t="array" ref="AF54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4" s="686"/>
      <c r="AH54" s="688"/>
      <c r="AI54" s="689" t="str" cm="1">
        <f t="array" ref="AI54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4" s="688"/>
      <c r="AK54" s="690"/>
      <c r="AL54" s="691" t="str" cm="1">
        <f t="array" ref="AL54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4" s="690"/>
      <c r="AN54" s="692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4" s="634">
        <f>IF(ISERR(SEARCH("UP",Tabela_kier[[#This Row],[Umiej.prakt.]],1)),0,Tabela_kier[[#This Row],[ects.razem]])</f>
        <v>0</v>
      </c>
      <c r="AP54" s="635">
        <f>IF(Tabela_kier[[#This Row],[czy.ects]]="TAK",ROUND((SUM(Tabela_kier[[#This Row],[godziny.konsultacja]],Tabela_kier[[#This Row],[godziny.egzamin]],Tabela_kier[[#This Row],[godziny.zajec.razem]])/25)/0.5,0)*0.5,0)</f>
        <v>1.5</v>
      </c>
      <c r="AQ54" s="636">
        <f>SUM(Tabela_kier[[#This Row],[godziny.samoksztalcenie]],Tabela_kier[[#This Row],[godziny.konsultacja]],Tabela_kier[[#This Row],[godziny.egzamin]],Tabela_kier[[#This Row],[godziny.zajec.razem]])</f>
        <v>52</v>
      </c>
      <c r="AR54" s="637">
        <f>INT(SUM(Tabela_kier[[#This Row],[godziny.konsultacja]],Tabela_kier[[#This Row],[godziny.egzamin]],Tabela_kier[[#This Row],[godziny.zajec.razem]])*0.5+Tabela_kier[[#This Row],[godziny.zajec.razem]]*(15-$G$194)/9)</f>
        <v>17</v>
      </c>
      <c r="AS54" s="638">
        <f>INT(Tabela_kier[[#This Row],[godziny.zajec.razem]]*0.1)</f>
        <v>3</v>
      </c>
      <c r="AT54" s="639">
        <f>IF(Tabela_kier[[#This Row],[godziny.zajec.razem]]&gt;0,IF(Tabela_kier[[#This Row],[godziny.zajec.razem]]&gt;=45,4,2),0)</f>
        <v>2</v>
      </c>
      <c r="AU54" s="693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4" s="694">
        <f>IF(Tabela_kier[[#This Row],[ects.bezposr.nauczyciel]],Tabela_kier[[#This Row],[ects.bezposr.nauczyciel]]/Tabela_kier[[#This Row],[ects.razem]],0)</f>
        <v>0.5</v>
      </c>
      <c r="AW54" s="176"/>
    </row>
    <row r="55" spans="1:49" ht="25.5" customHeight="1" x14ac:dyDescent="0.3">
      <c r="A55" s="207"/>
      <c r="B55" s="397" t="s">
        <v>482</v>
      </c>
      <c r="C55" s="584">
        <v>501</v>
      </c>
      <c r="D55" s="362" t="s">
        <v>502</v>
      </c>
      <c r="E55" s="362"/>
      <c r="F55" s="364" t="s">
        <v>498</v>
      </c>
      <c r="G55" s="365"/>
      <c r="H55" s="366" t="s">
        <v>31</v>
      </c>
      <c r="I55" s="367" t="s">
        <v>32</v>
      </c>
      <c r="J55" s="368"/>
      <c r="K55" s="369" t="str" cm="1">
        <f t="array" ref="K55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5" s="368"/>
      <c r="M55" s="370"/>
      <c r="N55" s="371" t="str" cm="1">
        <f t="array" ref="N55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55" s="370"/>
      <c r="P55" s="372">
        <v>30</v>
      </c>
      <c r="Q55" s="373">
        <v>3</v>
      </c>
      <c r="R55" s="372" t="s">
        <v>33</v>
      </c>
      <c r="S55" s="374"/>
      <c r="T55" s="375" t="str" cm="1">
        <f t="array" ref="T55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5" s="374"/>
      <c r="V55" s="376"/>
      <c r="W55" s="377" t="str" cm="1">
        <f t="array" ref="W55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5" s="376"/>
      <c r="Y55" s="378"/>
      <c r="Z55" s="379" t="str" cm="1">
        <f t="array" ref="Z55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5" s="378"/>
      <c r="AB55" s="380"/>
      <c r="AC55" s="381" t="str" cm="1">
        <f t="array" ref="AC55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5" s="380"/>
      <c r="AE55" s="382"/>
      <c r="AF55" s="383" t="str" cm="1">
        <f t="array" ref="AF55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5" s="382"/>
      <c r="AH55" s="384"/>
      <c r="AI55" s="385" t="str" cm="1">
        <f t="array" ref="AI55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5" s="384"/>
      <c r="AK55" s="386"/>
      <c r="AL55" s="387" t="str" cm="1">
        <f t="array" ref="AL55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5" s="386"/>
      <c r="AN55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5" s="389">
        <f>IF(ISERR(SEARCH("UP",Tabela_kier[[#This Row],[Umiej.prakt.]],1)),0,Tabela_kier[[#This Row],[ects.razem]])</f>
        <v>0</v>
      </c>
      <c r="AP55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5" s="391">
        <f>SUM(Tabela_kier[[#This Row],[godziny.samoksztalcenie]],Tabela_kier[[#This Row],[godziny.konsultacja]],Tabela_kier[[#This Row],[godziny.egzamin]],Tabela_kier[[#This Row],[godziny.zajec.razem]])</f>
        <v>52</v>
      </c>
      <c r="AR55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5" s="393">
        <f>INT(Tabela_kier[[#This Row],[godziny.zajec.razem]]*0.1)</f>
        <v>3</v>
      </c>
      <c r="AT55" s="394">
        <f>IF(Tabela_kier[[#This Row],[godziny.zajec.razem]]&gt;0,IF(Tabela_kier[[#This Row],[godziny.zajec.razem]]&gt;=45,4,2),0)</f>
        <v>2</v>
      </c>
      <c r="AU55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5" s="396">
        <f>IF(Tabela_kier[[#This Row],[ects.bezposr.nauczyciel]],Tabela_kier[[#This Row],[ects.bezposr.nauczyciel]]/Tabela_kier[[#This Row],[ects.razem]],0)</f>
        <v>0.5</v>
      </c>
      <c r="AW55" s="49"/>
    </row>
    <row r="56" spans="1:49" ht="25.5" customHeight="1" x14ac:dyDescent="0.3">
      <c r="A56" s="207"/>
      <c r="B56" s="397" t="s">
        <v>482</v>
      </c>
      <c r="C56" s="584">
        <v>501</v>
      </c>
      <c r="D56" s="362" t="s">
        <v>504</v>
      </c>
      <c r="E56" s="362" t="s">
        <v>604</v>
      </c>
      <c r="F56" s="364" t="s">
        <v>500</v>
      </c>
      <c r="G56" s="365"/>
      <c r="H56" s="366" t="s">
        <v>37</v>
      </c>
      <c r="I56" s="367" t="s">
        <v>32</v>
      </c>
      <c r="J56" s="368"/>
      <c r="K56" s="369" t="str" cm="1">
        <f t="array" ref="K56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6" s="368"/>
      <c r="M56" s="370"/>
      <c r="N56" s="371" t="str" cm="1">
        <f t="array" ref="N56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56" s="370"/>
      <c r="P56" s="372">
        <v>30</v>
      </c>
      <c r="Q56" s="373">
        <v>3</v>
      </c>
      <c r="R56" s="372" t="s">
        <v>41</v>
      </c>
      <c r="S56" s="374"/>
      <c r="T56" s="375" t="str" cm="1">
        <f t="array" ref="T56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6" s="374"/>
      <c r="V56" s="376"/>
      <c r="W56" s="377" t="str" cm="1">
        <f t="array" ref="W56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6" s="376"/>
      <c r="Y56" s="378"/>
      <c r="Z56" s="379" t="str" cm="1">
        <f t="array" ref="Z56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6" s="378"/>
      <c r="AB56" s="380"/>
      <c r="AC56" s="381" t="str" cm="1">
        <f t="array" ref="AC56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6" s="380"/>
      <c r="AE56" s="382"/>
      <c r="AF56" s="383" t="str" cm="1">
        <f t="array" ref="AF56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6" s="382"/>
      <c r="AH56" s="384"/>
      <c r="AI56" s="385" t="str" cm="1">
        <f t="array" ref="AI56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6" s="384"/>
      <c r="AK56" s="386"/>
      <c r="AL56" s="387" t="str" cm="1">
        <f t="array" ref="AL56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6" s="386"/>
      <c r="AN56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6" s="389">
        <f>IF(ISERR(SEARCH("UP",Tabela_kier[[#This Row],[Umiej.prakt.]],1)),0,Tabela_kier[[#This Row],[ects.razem]])</f>
        <v>3</v>
      </c>
      <c r="AP56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6" s="391">
        <f>SUM(Tabela_kier[[#This Row],[godziny.samoksztalcenie]],Tabela_kier[[#This Row],[godziny.konsultacja]],Tabela_kier[[#This Row],[godziny.egzamin]],Tabela_kier[[#This Row],[godziny.zajec.razem]])</f>
        <v>52</v>
      </c>
      <c r="AR56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6" s="393">
        <f>INT(Tabela_kier[[#This Row],[godziny.zajec.razem]]*0.1)</f>
        <v>3</v>
      </c>
      <c r="AT56" s="394">
        <f>IF(Tabela_kier[[#This Row],[godziny.zajec.razem]]&gt;0,IF(Tabela_kier[[#This Row],[godziny.zajec.razem]]&gt;=45,4,2),0)</f>
        <v>2</v>
      </c>
      <c r="AU56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6" s="396">
        <f>IF(Tabela_kier[[#This Row],[ects.bezposr.nauczyciel]],Tabela_kier[[#This Row],[ects.bezposr.nauczyciel]]/Tabela_kier[[#This Row],[ects.razem]],0)</f>
        <v>0.5</v>
      </c>
      <c r="AW56" s="49"/>
    </row>
    <row r="57" spans="1:49" ht="25.5" customHeight="1" x14ac:dyDescent="0.3">
      <c r="A57" s="207"/>
      <c r="B57" s="397" t="s">
        <v>482</v>
      </c>
      <c r="C57" s="584">
        <v>501</v>
      </c>
      <c r="D57" s="362" t="s">
        <v>608</v>
      </c>
      <c r="E57" s="362" t="s">
        <v>604</v>
      </c>
      <c r="F57" s="364" t="s">
        <v>500</v>
      </c>
      <c r="G57" s="365"/>
      <c r="H57" s="366" t="s">
        <v>31</v>
      </c>
      <c r="I57" s="367" t="s">
        <v>32</v>
      </c>
      <c r="J57" s="368"/>
      <c r="K57" s="369" t="str" cm="1">
        <f t="array" ref="K57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7" s="368"/>
      <c r="M57" s="370"/>
      <c r="N57" s="371" t="str" cm="1">
        <f t="array" ref="N57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57" s="370"/>
      <c r="P57" s="372">
        <v>30</v>
      </c>
      <c r="Q57" s="373">
        <v>3</v>
      </c>
      <c r="R57" s="372" t="s">
        <v>33</v>
      </c>
      <c r="S57" s="374"/>
      <c r="T57" s="375" t="str" cm="1">
        <f t="array" ref="T57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7" s="374"/>
      <c r="V57" s="376"/>
      <c r="W57" s="377" t="str" cm="1">
        <f t="array" ref="W57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7" s="376"/>
      <c r="Y57" s="378"/>
      <c r="Z57" s="379" t="str" cm="1">
        <f t="array" ref="Z57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7" s="378"/>
      <c r="AB57" s="380"/>
      <c r="AC57" s="381" t="str" cm="1">
        <f t="array" ref="AC57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7" s="380"/>
      <c r="AE57" s="382"/>
      <c r="AF57" s="383" t="str" cm="1">
        <f t="array" ref="AF57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7" s="382"/>
      <c r="AH57" s="384"/>
      <c r="AI57" s="385" t="str" cm="1">
        <f t="array" ref="AI57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7" s="384"/>
      <c r="AK57" s="386"/>
      <c r="AL57" s="387" t="str" cm="1">
        <f t="array" ref="AL57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7" s="386"/>
      <c r="AN57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7" s="389">
        <f>IF(ISERR(SEARCH("UP",Tabela_kier[[#This Row],[Umiej.prakt.]],1)),0,Tabela_kier[[#This Row],[ects.razem]])</f>
        <v>3</v>
      </c>
      <c r="AP57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7" s="391">
        <f>SUM(Tabela_kier[[#This Row],[godziny.samoksztalcenie]],Tabela_kier[[#This Row],[godziny.konsultacja]],Tabela_kier[[#This Row],[godziny.egzamin]],Tabela_kier[[#This Row],[godziny.zajec.razem]])</f>
        <v>52</v>
      </c>
      <c r="AR57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7" s="393">
        <f>INT(Tabela_kier[[#This Row],[godziny.zajec.razem]]*0.1)</f>
        <v>3</v>
      </c>
      <c r="AT57" s="394">
        <f>IF(Tabela_kier[[#This Row],[godziny.zajec.razem]]&gt;0,IF(Tabela_kier[[#This Row],[godziny.zajec.razem]]&gt;=45,4,2),0)</f>
        <v>2</v>
      </c>
      <c r="AU57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7" s="396">
        <f>IF(Tabela_kier[[#This Row],[ects.bezposr.nauczyciel]],Tabela_kier[[#This Row],[ects.bezposr.nauczyciel]]/Tabela_kier[[#This Row],[ects.razem]],0)</f>
        <v>0.5</v>
      </c>
      <c r="AW57" s="49"/>
    </row>
    <row r="58" spans="1:49" ht="25.5" customHeight="1" x14ac:dyDescent="0.3">
      <c r="A58" s="207"/>
      <c r="B58" s="397" t="s">
        <v>490</v>
      </c>
      <c r="C58" s="584">
        <v>501</v>
      </c>
      <c r="D58" s="362" t="s">
        <v>507</v>
      </c>
      <c r="E58" s="362" t="s">
        <v>604</v>
      </c>
      <c r="F58" s="364" t="s">
        <v>503</v>
      </c>
      <c r="G58" s="365"/>
      <c r="H58" s="366" t="s">
        <v>37</v>
      </c>
      <c r="I58" s="367" t="s">
        <v>32</v>
      </c>
      <c r="J58" s="368"/>
      <c r="K58" s="369" t="str" cm="1">
        <f t="array" ref="K58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8" s="368"/>
      <c r="M58" s="370"/>
      <c r="N58" s="371" t="str" cm="1">
        <f t="array" ref="N58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58" s="370"/>
      <c r="P58" s="372">
        <v>30</v>
      </c>
      <c r="Q58" s="373">
        <v>3</v>
      </c>
      <c r="R58" s="372" t="s">
        <v>41</v>
      </c>
      <c r="S58" s="374"/>
      <c r="T58" s="375" t="str" cm="1">
        <f t="array" ref="T58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8" s="374"/>
      <c r="V58" s="376"/>
      <c r="W58" s="377" t="str" cm="1">
        <f t="array" ref="W58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8" s="376"/>
      <c r="Y58" s="378"/>
      <c r="Z58" s="379" t="str" cm="1">
        <f t="array" ref="Z58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8" s="378"/>
      <c r="AB58" s="380"/>
      <c r="AC58" s="381" t="str" cm="1">
        <f t="array" ref="AC58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8" s="380"/>
      <c r="AE58" s="382"/>
      <c r="AF58" s="383" t="str" cm="1">
        <f t="array" ref="AF58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8" s="382"/>
      <c r="AH58" s="384"/>
      <c r="AI58" s="385" t="str" cm="1">
        <f t="array" ref="AI58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8" s="384"/>
      <c r="AK58" s="386"/>
      <c r="AL58" s="387" t="str" cm="1">
        <f t="array" ref="AL58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8" s="386"/>
      <c r="AN58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8" s="389">
        <f>IF(ISERR(SEARCH("UP",Tabela_kier[[#This Row],[Umiej.prakt.]],1)),0,Tabela_kier[[#This Row],[ects.razem]])</f>
        <v>3</v>
      </c>
      <c r="AP58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8" s="391">
        <f>SUM(Tabela_kier[[#This Row],[godziny.samoksztalcenie]],Tabela_kier[[#This Row],[godziny.konsultacja]],Tabela_kier[[#This Row],[godziny.egzamin]],Tabela_kier[[#This Row],[godziny.zajec.razem]])</f>
        <v>52</v>
      </c>
      <c r="AR58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8" s="393">
        <f>INT(Tabela_kier[[#This Row],[godziny.zajec.razem]]*0.1)</f>
        <v>3</v>
      </c>
      <c r="AT58" s="394">
        <f>IF(Tabela_kier[[#This Row],[godziny.zajec.razem]]&gt;0,IF(Tabela_kier[[#This Row],[godziny.zajec.razem]]&gt;=45,4,2),0)</f>
        <v>2</v>
      </c>
      <c r="AU58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8" s="396">
        <f>IF(Tabela_kier[[#This Row],[ects.bezposr.nauczyciel]],Tabela_kier[[#This Row],[ects.bezposr.nauczyciel]]/Tabela_kier[[#This Row],[ects.razem]],0)</f>
        <v>0.5</v>
      </c>
      <c r="AW58" s="49"/>
    </row>
    <row r="59" spans="1:49" ht="25.5" customHeight="1" x14ac:dyDescent="0.3">
      <c r="A59" s="207"/>
      <c r="B59" s="397" t="s">
        <v>490</v>
      </c>
      <c r="C59" s="584">
        <v>501</v>
      </c>
      <c r="D59" s="362" t="s">
        <v>508</v>
      </c>
      <c r="E59" s="362" t="s">
        <v>604</v>
      </c>
      <c r="F59" s="364" t="s">
        <v>503</v>
      </c>
      <c r="G59" s="365"/>
      <c r="H59" s="366" t="s">
        <v>31</v>
      </c>
      <c r="I59" s="367" t="s">
        <v>32</v>
      </c>
      <c r="J59" s="368"/>
      <c r="K59" s="369" t="str" cm="1">
        <f t="array" ref="K59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59" s="368"/>
      <c r="M59" s="370"/>
      <c r="N59" s="371" t="str" cm="1">
        <f t="array" ref="N59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59" s="370"/>
      <c r="P59" s="372">
        <v>30</v>
      </c>
      <c r="Q59" s="373">
        <v>3</v>
      </c>
      <c r="R59" s="372" t="s">
        <v>33</v>
      </c>
      <c r="S59" s="374"/>
      <c r="T59" s="375" t="str" cm="1">
        <f t="array" ref="T59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59" s="374"/>
      <c r="V59" s="376"/>
      <c r="W59" s="377" t="str" cm="1">
        <f t="array" ref="W59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59" s="376"/>
      <c r="Y59" s="378"/>
      <c r="Z59" s="379" t="str" cm="1">
        <f t="array" ref="Z59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59" s="378"/>
      <c r="AB59" s="380"/>
      <c r="AC59" s="381" t="str" cm="1">
        <f t="array" ref="AC59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59" s="380"/>
      <c r="AE59" s="382"/>
      <c r="AF59" s="383" t="str" cm="1">
        <f t="array" ref="AF59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59" s="382"/>
      <c r="AH59" s="384"/>
      <c r="AI59" s="385" t="str" cm="1">
        <f t="array" ref="AI59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59" s="384"/>
      <c r="AK59" s="386"/>
      <c r="AL59" s="387" t="str" cm="1">
        <f t="array" ref="AL59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59" s="386"/>
      <c r="AN59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59" s="389">
        <f>IF(ISERR(SEARCH("UP",Tabela_kier[[#This Row],[Umiej.prakt.]],1)),0,Tabela_kier[[#This Row],[ects.razem]])</f>
        <v>3</v>
      </c>
      <c r="AP59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59" s="391">
        <f>SUM(Tabela_kier[[#This Row],[godziny.samoksztalcenie]],Tabela_kier[[#This Row],[godziny.konsultacja]],Tabela_kier[[#This Row],[godziny.egzamin]],Tabela_kier[[#This Row],[godziny.zajec.razem]])</f>
        <v>52</v>
      </c>
      <c r="AR59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59" s="393">
        <f>INT(Tabela_kier[[#This Row],[godziny.zajec.razem]]*0.1)</f>
        <v>3</v>
      </c>
      <c r="AT59" s="394">
        <f>IF(Tabela_kier[[#This Row],[godziny.zajec.razem]]&gt;0,IF(Tabela_kier[[#This Row],[godziny.zajec.razem]]&gt;=45,4,2),0)</f>
        <v>2</v>
      </c>
      <c r="AU59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59" s="396">
        <f>IF(Tabela_kier[[#This Row],[ects.bezposr.nauczyciel]],Tabela_kier[[#This Row],[ects.bezposr.nauczyciel]]/Tabela_kier[[#This Row],[ects.razem]],0)</f>
        <v>0.5</v>
      </c>
      <c r="AW59" s="49"/>
    </row>
    <row r="60" spans="1:49" ht="25.5" customHeight="1" x14ac:dyDescent="0.3">
      <c r="A60" s="207"/>
      <c r="B60" s="397" t="s">
        <v>490</v>
      </c>
      <c r="C60" s="584">
        <v>501</v>
      </c>
      <c r="D60" s="362" t="s">
        <v>510</v>
      </c>
      <c r="E60" s="362" t="s">
        <v>604</v>
      </c>
      <c r="F60" s="364" t="s">
        <v>505</v>
      </c>
      <c r="G60" s="365"/>
      <c r="H60" s="366" t="s">
        <v>37</v>
      </c>
      <c r="I60" s="367" t="s">
        <v>32</v>
      </c>
      <c r="J60" s="368"/>
      <c r="K60" s="369" t="str" cm="1">
        <f t="array" ref="K60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0" s="368"/>
      <c r="M60" s="370"/>
      <c r="N60" s="371" t="str" cm="1">
        <f t="array" ref="N60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0" s="370"/>
      <c r="P60" s="372"/>
      <c r="Q60" s="373" t="str" cm="1">
        <f t="array" ref="Q60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0" s="372"/>
      <c r="S60" s="374">
        <v>30</v>
      </c>
      <c r="T60" s="375">
        <v>3</v>
      </c>
      <c r="U60" s="374" t="s">
        <v>41</v>
      </c>
      <c r="V60" s="376"/>
      <c r="W60" s="377" t="str" cm="1">
        <f t="array" ref="W60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60" s="376"/>
      <c r="Y60" s="378"/>
      <c r="Z60" s="379" t="str" cm="1">
        <f t="array" ref="Z60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0" s="378"/>
      <c r="AB60" s="380"/>
      <c r="AC60" s="381" t="str" cm="1">
        <f t="array" ref="AC60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0" s="380"/>
      <c r="AE60" s="382"/>
      <c r="AF60" s="383" t="str" cm="1">
        <f t="array" ref="AF60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0" s="382"/>
      <c r="AH60" s="384"/>
      <c r="AI60" s="385" t="str" cm="1">
        <f t="array" ref="AI60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0" s="384"/>
      <c r="AK60" s="386"/>
      <c r="AL60" s="387" t="str" cm="1">
        <f t="array" ref="AL60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0" s="386"/>
      <c r="AN60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60" s="389">
        <f>IF(ISERR(SEARCH("UP",Tabela_kier[[#This Row],[Umiej.prakt.]],1)),0,Tabela_kier[[#This Row],[ects.razem]])</f>
        <v>3</v>
      </c>
      <c r="AP60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60" s="391">
        <f>SUM(Tabela_kier[[#This Row],[godziny.samoksztalcenie]],Tabela_kier[[#This Row],[godziny.konsultacja]],Tabela_kier[[#This Row],[godziny.egzamin]],Tabela_kier[[#This Row],[godziny.zajec.razem]])</f>
        <v>52</v>
      </c>
      <c r="AR60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60" s="393">
        <f>INT(Tabela_kier[[#This Row],[godziny.zajec.razem]]*0.1)</f>
        <v>3</v>
      </c>
      <c r="AT60" s="394">
        <f>IF(Tabela_kier[[#This Row],[godziny.zajec.razem]]&gt;0,IF(Tabela_kier[[#This Row],[godziny.zajec.razem]]&gt;=45,4,2),0)</f>
        <v>2</v>
      </c>
      <c r="AU60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60" s="396">
        <f>IF(Tabela_kier[[#This Row],[ects.bezposr.nauczyciel]],Tabela_kier[[#This Row],[ects.bezposr.nauczyciel]]/Tabela_kier[[#This Row],[ects.razem]],0)</f>
        <v>0.5</v>
      </c>
      <c r="AW60" s="49"/>
    </row>
    <row r="61" spans="1:49" ht="25.5" customHeight="1" x14ac:dyDescent="0.3">
      <c r="A61" s="207"/>
      <c r="B61" s="397" t="s">
        <v>506</v>
      </c>
      <c r="C61" s="584">
        <v>501</v>
      </c>
      <c r="D61" s="362" t="s">
        <v>512</v>
      </c>
      <c r="E61" s="362" t="s">
        <v>604</v>
      </c>
      <c r="F61" s="364" t="s">
        <v>509</v>
      </c>
      <c r="G61" s="365"/>
      <c r="H61" s="366" t="s">
        <v>37</v>
      </c>
      <c r="I61" s="367" t="s">
        <v>32</v>
      </c>
      <c r="J61" s="368"/>
      <c r="K61" s="369" t="str" cm="1">
        <f t="array" ref="K61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1" s="368"/>
      <c r="M61" s="370"/>
      <c r="N61" s="371" t="str" cm="1">
        <f t="array" ref="N61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1" s="370"/>
      <c r="P61" s="372"/>
      <c r="Q61" s="373" t="str" cm="1">
        <f t="array" ref="Q61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1" s="372"/>
      <c r="S61" s="374">
        <v>15</v>
      </c>
      <c r="T61" s="375" cm="1">
        <f t="array" ref="T61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>1</v>
      </c>
      <c r="U61" s="374" t="s">
        <v>33</v>
      </c>
      <c r="V61" s="376"/>
      <c r="W61" s="377" t="str" cm="1">
        <f t="array" ref="W61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61" s="376"/>
      <c r="Y61" s="378"/>
      <c r="Z61" s="379" t="str" cm="1">
        <f t="array" ref="Z61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1" s="378"/>
      <c r="AB61" s="380"/>
      <c r="AC61" s="381" t="str" cm="1">
        <f t="array" ref="AC61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1" s="380"/>
      <c r="AE61" s="382"/>
      <c r="AF61" s="383" t="str" cm="1">
        <f t="array" ref="AF61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1" s="382"/>
      <c r="AH61" s="384"/>
      <c r="AI61" s="385" t="str" cm="1">
        <f t="array" ref="AI61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1" s="384"/>
      <c r="AK61" s="386"/>
      <c r="AL61" s="387" t="str" cm="1">
        <f t="array" ref="AL61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1" s="386"/>
      <c r="AN61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61" s="389">
        <f>IF(ISERR(SEARCH("UP",Tabela_kier[[#This Row],[Umiej.prakt.]],1)),0,Tabela_kier[[#This Row],[ects.razem]])</f>
        <v>1</v>
      </c>
      <c r="AP61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61" s="391">
        <f>SUM(Tabela_kier[[#This Row],[godziny.samoksztalcenie]],Tabela_kier[[#This Row],[godziny.konsultacja]],Tabela_kier[[#This Row],[godziny.egzamin]],Tabela_kier[[#This Row],[godziny.zajec.razem]])</f>
        <v>27</v>
      </c>
      <c r="AR61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61" s="393">
        <f>INT(Tabela_kier[[#This Row],[godziny.zajec.razem]]*0.1)</f>
        <v>1</v>
      </c>
      <c r="AT61" s="394">
        <f>IF(Tabela_kier[[#This Row],[godziny.zajec.razem]]&gt;0,IF(Tabela_kier[[#This Row],[godziny.zajec.razem]]&gt;=45,4,2),0)</f>
        <v>2</v>
      </c>
      <c r="AU61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61" s="396">
        <f>IF(Tabela_kier[[#This Row],[ects.bezposr.nauczyciel]],Tabela_kier[[#This Row],[ects.bezposr.nauczyciel]]/Tabela_kier[[#This Row],[ects.razem]],0)</f>
        <v>0.5</v>
      </c>
      <c r="AW61" s="49"/>
    </row>
    <row r="62" spans="1:49" ht="25.5" customHeight="1" x14ac:dyDescent="0.3">
      <c r="A62" s="207"/>
      <c r="B62" s="397" t="s">
        <v>506</v>
      </c>
      <c r="C62" s="584">
        <v>501</v>
      </c>
      <c r="D62" s="362" t="s">
        <v>609</v>
      </c>
      <c r="E62" s="362" t="s">
        <v>604</v>
      </c>
      <c r="F62" s="364" t="s">
        <v>509</v>
      </c>
      <c r="G62" s="365"/>
      <c r="H62" s="366" t="s">
        <v>31</v>
      </c>
      <c r="I62" s="367" t="s">
        <v>32</v>
      </c>
      <c r="J62" s="368"/>
      <c r="K62" s="369" t="str" cm="1">
        <f t="array" ref="K62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2" s="368"/>
      <c r="M62" s="370"/>
      <c r="N62" s="371" t="str" cm="1">
        <f t="array" ref="N62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2" s="370"/>
      <c r="P62" s="372"/>
      <c r="Q62" s="373" t="str" cm="1">
        <f t="array" ref="Q62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2" s="372"/>
      <c r="S62" s="374">
        <v>30</v>
      </c>
      <c r="T62" s="375">
        <v>3</v>
      </c>
      <c r="U62" s="374" t="s">
        <v>33</v>
      </c>
      <c r="V62" s="376"/>
      <c r="W62" s="377" t="str" cm="1">
        <f t="array" ref="W62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62" s="376"/>
      <c r="Y62" s="378"/>
      <c r="Z62" s="379" t="str" cm="1">
        <f t="array" ref="Z62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2" s="378"/>
      <c r="AB62" s="380"/>
      <c r="AC62" s="381" t="str" cm="1">
        <f t="array" ref="AC62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2" s="380"/>
      <c r="AE62" s="382"/>
      <c r="AF62" s="383" t="str" cm="1">
        <f t="array" ref="AF62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2" s="382"/>
      <c r="AH62" s="384"/>
      <c r="AI62" s="385" t="str" cm="1">
        <f t="array" ref="AI62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2" s="384"/>
      <c r="AK62" s="386"/>
      <c r="AL62" s="387" t="str" cm="1">
        <f t="array" ref="AL62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2" s="386"/>
      <c r="AN62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62" s="389">
        <f>IF(ISERR(SEARCH("UP",Tabela_kier[[#This Row],[Umiej.prakt.]],1)),0,Tabela_kier[[#This Row],[ects.razem]])</f>
        <v>3</v>
      </c>
      <c r="AP62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62" s="391">
        <f>SUM(Tabela_kier[[#This Row],[godziny.samoksztalcenie]],Tabela_kier[[#This Row],[godziny.konsultacja]],Tabela_kier[[#This Row],[godziny.egzamin]],Tabela_kier[[#This Row],[godziny.zajec.razem]])</f>
        <v>52</v>
      </c>
      <c r="AR62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62" s="393">
        <f>INT(Tabela_kier[[#This Row],[godziny.zajec.razem]]*0.1)</f>
        <v>3</v>
      </c>
      <c r="AT62" s="394">
        <f>IF(Tabela_kier[[#This Row],[godziny.zajec.razem]]&gt;0,IF(Tabela_kier[[#This Row],[godziny.zajec.razem]]&gt;=45,4,2),0)</f>
        <v>2</v>
      </c>
      <c r="AU62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62" s="396">
        <f>IF(Tabela_kier[[#This Row],[ects.bezposr.nauczyciel]],Tabela_kier[[#This Row],[ects.bezposr.nauczyciel]]/Tabela_kier[[#This Row],[ects.razem]],0)</f>
        <v>0.5</v>
      </c>
      <c r="AW62" s="49"/>
    </row>
    <row r="63" spans="1:49" ht="25.5" customHeight="1" x14ac:dyDescent="0.3">
      <c r="A63" s="207"/>
      <c r="B63" s="397" t="s">
        <v>482</v>
      </c>
      <c r="C63" s="584">
        <v>501</v>
      </c>
      <c r="D63" s="362" t="s">
        <v>514</v>
      </c>
      <c r="E63" s="362"/>
      <c r="F63" s="364" t="s">
        <v>513</v>
      </c>
      <c r="G63" s="365"/>
      <c r="H63" s="366" t="s">
        <v>37</v>
      </c>
      <c r="I63" s="367" t="s">
        <v>32</v>
      </c>
      <c r="J63" s="368"/>
      <c r="K63" s="369" t="str" cm="1">
        <f t="array" ref="K63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3" s="368"/>
      <c r="M63" s="370"/>
      <c r="N63" s="371" t="str" cm="1">
        <f t="array" ref="N63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3" s="370"/>
      <c r="P63" s="372"/>
      <c r="Q63" s="373" t="str" cm="1">
        <f t="array" ref="Q63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3" s="372"/>
      <c r="S63" s="374">
        <v>15</v>
      </c>
      <c r="T63" s="375" cm="1">
        <f t="array" ref="T63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>1</v>
      </c>
      <c r="U63" s="374" t="s">
        <v>33</v>
      </c>
      <c r="V63" s="376"/>
      <c r="W63" s="377" t="str" cm="1">
        <f t="array" ref="W63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63" s="376"/>
      <c r="Y63" s="378"/>
      <c r="Z63" s="379" t="str" cm="1">
        <f t="array" ref="Z63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3" s="378"/>
      <c r="AB63" s="380"/>
      <c r="AC63" s="381" t="str" cm="1">
        <f t="array" ref="AC63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3" s="380"/>
      <c r="AE63" s="382"/>
      <c r="AF63" s="383" t="str" cm="1">
        <f t="array" ref="AF63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3" s="382"/>
      <c r="AH63" s="384"/>
      <c r="AI63" s="385" t="str" cm="1">
        <f t="array" ref="AI63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3" s="384"/>
      <c r="AK63" s="386"/>
      <c r="AL63" s="387" t="str" cm="1">
        <f t="array" ref="AL63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3" s="386"/>
      <c r="AN63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63" s="389">
        <f>IF(ISERR(SEARCH("UP",Tabela_kier[[#This Row],[Umiej.prakt.]],1)),0,Tabela_kier[[#This Row],[ects.razem]])</f>
        <v>0</v>
      </c>
      <c r="AP63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63" s="391">
        <f>SUM(Tabela_kier[[#This Row],[godziny.samoksztalcenie]],Tabela_kier[[#This Row],[godziny.konsultacja]],Tabela_kier[[#This Row],[godziny.egzamin]],Tabela_kier[[#This Row],[godziny.zajec.razem]])</f>
        <v>27</v>
      </c>
      <c r="AR63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63" s="393">
        <f>INT(Tabela_kier[[#This Row],[godziny.zajec.razem]]*0.1)</f>
        <v>1</v>
      </c>
      <c r="AT63" s="394">
        <f>IF(Tabela_kier[[#This Row],[godziny.zajec.razem]]&gt;0,IF(Tabela_kier[[#This Row],[godziny.zajec.razem]]&gt;=45,4,2),0)</f>
        <v>2</v>
      </c>
      <c r="AU63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63" s="396">
        <f>IF(Tabela_kier[[#This Row],[ects.bezposr.nauczyciel]],Tabela_kier[[#This Row],[ects.bezposr.nauczyciel]]/Tabela_kier[[#This Row],[ects.razem]],0)</f>
        <v>0.5</v>
      </c>
      <c r="AW63" s="49"/>
    </row>
    <row r="64" spans="1:49" ht="25.5" customHeight="1" x14ac:dyDescent="0.3">
      <c r="A64" s="207"/>
      <c r="B64" s="397" t="s">
        <v>447</v>
      </c>
      <c r="C64" s="584">
        <v>507</v>
      </c>
      <c r="D64" s="362" t="s">
        <v>516</v>
      </c>
      <c r="E64" s="362"/>
      <c r="F64" s="364" t="s">
        <v>515</v>
      </c>
      <c r="G64" s="365"/>
      <c r="H64" s="366" t="s">
        <v>37</v>
      </c>
      <c r="I64" s="367" t="s">
        <v>32</v>
      </c>
      <c r="J64" s="368"/>
      <c r="K64" s="369" t="str" cm="1">
        <f t="array" ref="K64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4" s="368"/>
      <c r="M64" s="370"/>
      <c r="N64" s="371" t="str" cm="1">
        <f t="array" ref="N64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4" s="370"/>
      <c r="P64" s="372"/>
      <c r="Q64" s="373" t="str" cm="1">
        <f t="array" ref="Q64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4" s="372"/>
      <c r="S64" s="374">
        <v>30</v>
      </c>
      <c r="T64" s="375">
        <v>3</v>
      </c>
      <c r="U64" s="374" t="s">
        <v>33</v>
      </c>
      <c r="V64" s="376"/>
      <c r="W64" s="377" t="str" cm="1">
        <f t="array" ref="W64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64" s="376"/>
      <c r="Y64" s="378"/>
      <c r="Z64" s="379" t="str" cm="1">
        <f t="array" ref="Z64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4" s="378"/>
      <c r="AB64" s="380"/>
      <c r="AC64" s="381" t="str" cm="1">
        <f t="array" ref="AC64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4" s="380"/>
      <c r="AE64" s="382"/>
      <c r="AF64" s="383" t="str" cm="1">
        <f t="array" ref="AF64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4" s="382"/>
      <c r="AH64" s="384"/>
      <c r="AI64" s="385" t="str" cm="1">
        <f t="array" ref="AI64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4" s="384"/>
      <c r="AK64" s="386"/>
      <c r="AL64" s="387" t="str" cm="1">
        <f t="array" ref="AL64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4" s="386"/>
      <c r="AN64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64" s="389">
        <f>IF(ISERR(SEARCH("UP",Tabela_kier[[#This Row],[Umiej.prakt.]],1)),0,Tabela_kier[[#This Row],[ects.razem]])</f>
        <v>0</v>
      </c>
      <c r="AP64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64" s="391">
        <f>SUM(Tabela_kier[[#This Row],[godziny.samoksztalcenie]],Tabela_kier[[#This Row],[godziny.konsultacja]],Tabela_kier[[#This Row],[godziny.egzamin]],Tabela_kier[[#This Row],[godziny.zajec.razem]])</f>
        <v>52</v>
      </c>
      <c r="AR64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64" s="393">
        <f>INT(Tabela_kier[[#This Row],[godziny.zajec.razem]]*0.1)</f>
        <v>3</v>
      </c>
      <c r="AT64" s="394">
        <f>IF(Tabela_kier[[#This Row],[godziny.zajec.razem]]&gt;0,IF(Tabela_kier[[#This Row],[godziny.zajec.razem]]&gt;=45,4,2),0)</f>
        <v>2</v>
      </c>
      <c r="AU64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64" s="396">
        <f>IF(Tabela_kier[[#This Row],[ects.bezposr.nauczyciel]],Tabela_kier[[#This Row],[ects.bezposr.nauczyciel]]/Tabela_kier[[#This Row],[ects.razem]],0)</f>
        <v>0.5</v>
      </c>
      <c r="AW64" s="49"/>
    </row>
    <row r="65" spans="1:49" ht="25.5" customHeight="1" x14ac:dyDescent="0.3">
      <c r="A65" s="207"/>
      <c r="B65" s="397" t="s">
        <v>490</v>
      </c>
      <c r="C65" s="584">
        <v>501</v>
      </c>
      <c r="D65" s="362" t="s">
        <v>518</v>
      </c>
      <c r="E65" s="362" t="s">
        <v>604</v>
      </c>
      <c r="F65" s="364" t="s">
        <v>517</v>
      </c>
      <c r="G65" s="365"/>
      <c r="H65" s="366" t="s">
        <v>37</v>
      </c>
      <c r="I65" s="367" t="s">
        <v>32</v>
      </c>
      <c r="J65" s="368"/>
      <c r="K65" s="369" t="str" cm="1">
        <f t="array" ref="K65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5" s="368"/>
      <c r="M65" s="370"/>
      <c r="N65" s="371" t="str" cm="1">
        <f t="array" ref="N65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5" s="370"/>
      <c r="P65" s="372"/>
      <c r="Q65" s="373" t="str" cm="1">
        <f t="array" ref="Q65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5" s="372"/>
      <c r="S65" s="374"/>
      <c r="T65" s="375" t="str" cm="1">
        <f t="array" ref="T65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65" s="374"/>
      <c r="V65" s="376">
        <v>15</v>
      </c>
      <c r="W65" s="377" cm="1">
        <f t="array" ref="W65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>1</v>
      </c>
      <c r="X65" s="376" t="s">
        <v>33</v>
      </c>
      <c r="Y65" s="378"/>
      <c r="Z65" s="379" t="str" cm="1">
        <f t="array" ref="Z65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5" s="378"/>
      <c r="AB65" s="380"/>
      <c r="AC65" s="381" t="str" cm="1">
        <f t="array" ref="AC65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5" s="380"/>
      <c r="AE65" s="382"/>
      <c r="AF65" s="383" t="str" cm="1">
        <f t="array" ref="AF65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5" s="382"/>
      <c r="AH65" s="384"/>
      <c r="AI65" s="385" t="str" cm="1">
        <f t="array" ref="AI65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5" s="384"/>
      <c r="AK65" s="386"/>
      <c r="AL65" s="387" t="str" cm="1">
        <f t="array" ref="AL65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5" s="386"/>
      <c r="AN65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65" s="389">
        <f>IF(ISERR(SEARCH("UP",Tabela_kier[[#This Row],[Umiej.prakt.]],1)),0,Tabela_kier[[#This Row],[ects.razem]])</f>
        <v>1</v>
      </c>
      <c r="AP65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65" s="391">
        <f>SUM(Tabela_kier[[#This Row],[godziny.samoksztalcenie]],Tabela_kier[[#This Row],[godziny.konsultacja]],Tabela_kier[[#This Row],[godziny.egzamin]],Tabela_kier[[#This Row],[godziny.zajec.razem]])</f>
        <v>27</v>
      </c>
      <c r="AR65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65" s="393">
        <f>INT(Tabela_kier[[#This Row],[godziny.zajec.razem]]*0.1)</f>
        <v>1</v>
      </c>
      <c r="AT65" s="394">
        <f>IF(Tabela_kier[[#This Row],[godziny.zajec.razem]]&gt;0,IF(Tabela_kier[[#This Row],[godziny.zajec.razem]]&gt;=45,4,2),0)</f>
        <v>2</v>
      </c>
      <c r="AU65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65" s="396">
        <f>IF(Tabela_kier[[#This Row],[ects.bezposr.nauczyciel]],Tabela_kier[[#This Row],[ects.bezposr.nauczyciel]]/Tabela_kier[[#This Row],[ects.razem]],0)</f>
        <v>0.5</v>
      </c>
      <c r="AW65" s="49"/>
    </row>
    <row r="66" spans="1:49" ht="25.5" customHeight="1" x14ac:dyDescent="0.3">
      <c r="A66" s="207"/>
      <c r="B66" s="397" t="s">
        <v>490</v>
      </c>
      <c r="C66" s="584">
        <v>501</v>
      </c>
      <c r="D66" s="362" t="s">
        <v>519</v>
      </c>
      <c r="E66" s="362" t="s">
        <v>604</v>
      </c>
      <c r="F66" s="364" t="s">
        <v>517</v>
      </c>
      <c r="G66" s="365"/>
      <c r="H66" s="366" t="s">
        <v>39</v>
      </c>
      <c r="I66" s="367" t="s">
        <v>32</v>
      </c>
      <c r="J66" s="368"/>
      <c r="K66" s="369" t="str" cm="1">
        <f t="array" ref="K66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6" s="368"/>
      <c r="M66" s="370"/>
      <c r="N66" s="371" t="str" cm="1">
        <f t="array" ref="N66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6" s="370"/>
      <c r="P66" s="372"/>
      <c r="Q66" s="373" t="str" cm="1">
        <f t="array" ref="Q66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6" s="372"/>
      <c r="S66" s="374"/>
      <c r="T66" s="375" t="str" cm="1">
        <f t="array" ref="T66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66" s="374"/>
      <c r="V66" s="376">
        <v>30</v>
      </c>
      <c r="W66" s="377">
        <v>3</v>
      </c>
      <c r="X66" s="376" t="s">
        <v>33</v>
      </c>
      <c r="Y66" s="378"/>
      <c r="Z66" s="379" t="str" cm="1">
        <f t="array" ref="Z66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6" s="378"/>
      <c r="AB66" s="380"/>
      <c r="AC66" s="381" t="str" cm="1">
        <f t="array" ref="AC66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6" s="380"/>
      <c r="AE66" s="382"/>
      <c r="AF66" s="383" t="str" cm="1">
        <f t="array" ref="AF66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6" s="382"/>
      <c r="AH66" s="384"/>
      <c r="AI66" s="385" t="str" cm="1">
        <f t="array" ref="AI66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6" s="384"/>
      <c r="AK66" s="386"/>
      <c r="AL66" s="387" t="str" cm="1">
        <f t="array" ref="AL66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6" s="386"/>
      <c r="AN66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66" s="389">
        <f>IF(ISERR(SEARCH("UP",Tabela_kier[[#This Row],[Umiej.prakt.]],1)),0,Tabela_kier[[#This Row],[ects.razem]])</f>
        <v>3</v>
      </c>
      <c r="AP66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66" s="391">
        <f>SUM(Tabela_kier[[#This Row],[godziny.samoksztalcenie]],Tabela_kier[[#This Row],[godziny.konsultacja]],Tabela_kier[[#This Row],[godziny.egzamin]],Tabela_kier[[#This Row],[godziny.zajec.razem]])</f>
        <v>52</v>
      </c>
      <c r="AR66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66" s="393">
        <f>INT(Tabela_kier[[#This Row],[godziny.zajec.razem]]*0.1)</f>
        <v>3</v>
      </c>
      <c r="AT66" s="394">
        <f>IF(Tabela_kier[[#This Row],[godziny.zajec.razem]]&gt;0,IF(Tabela_kier[[#This Row],[godziny.zajec.razem]]&gt;=45,4,2),0)</f>
        <v>2</v>
      </c>
      <c r="AU66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66" s="396">
        <f>IF(Tabela_kier[[#This Row],[ects.bezposr.nauczyciel]],Tabela_kier[[#This Row],[ects.bezposr.nauczyciel]]/Tabela_kier[[#This Row],[ects.razem]],0)</f>
        <v>0.5</v>
      </c>
      <c r="AW66" s="49"/>
    </row>
    <row r="67" spans="1:49" ht="25.5" customHeight="1" x14ac:dyDescent="0.3">
      <c r="A67" s="207"/>
      <c r="B67" s="397" t="s">
        <v>482</v>
      </c>
      <c r="C67" s="584">
        <v>501</v>
      </c>
      <c r="D67" s="362" t="s">
        <v>521</v>
      </c>
      <c r="E67" s="362" t="s">
        <v>604</v>
      </c>
      <c r="F67" s="364" t="s">
        <v>520</v>
      </c>
      <c r="G67" s="365"/>
      <c r="H67" s="366" t="s">
        <v>37</v>
      </c>
      <c r="I67" s="367" t="s">
        <v>32</v>
      </c>
      <c r="J67" s="368"/>
      <c r="K67" s="369" t="str" cm="1">
        <f t="array" ref="K67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7" s="368"/>
      <c r="M67" s="370"/>
      <c r="N67" s="371" t="str" cm="1">
        <f t="array" ref="N67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7" s="370"/>
      <c r="P67" s="372"/>
      <c r="Q67" s="373" t="str" cm="1">
        <f t="array" ref="Q67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7" s="372"/>
      <c r="S67" s="374"/>
      <c r="T67" s="375" t="str" cm="1">
        <f t="array" ref="T67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67" s="374"/>
      <c r="V67" s="376">
        <v>15</v>
      </c>
      <c r="W67" s="377" cm="1">
        <f t="array" ref="W67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>1</v>
      </c>
      <c r="X67" s="376" t="s">
        <v>41</v>
      </c>
      <c r="Y67" s="378"/>
      <c r="Z67" s="379" t="str" cm="1">
        <f t="array" ref="Z67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7" s="378"/>
      <c r="AB67" s="380"/>
      <c r="AC67" s="381" t="str" cm="1">
        <f t="array" ref="AC67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7" s="380"/>
      <c r="AE67" s="382"/>
      <c r="AF67" s="383" t="str" cm="1">
        <f t="array" ref="AF67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7" s="382"/>
      <c r="AH67" s="384"/>
      <c r="AI67" s="385" t="str" cm="1">
        <f t="array" ref="AI67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7" s="384"/>
      <c r="AK67" s="386"/>
      <c r="AL67" s="387" t="str" cm="1">
        <f t="array" ref="AL67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7" s="386"/>
      <c r="AN67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67" s="389">
        <f>IF(ISERR(SEARCH("UP",Tabela_kier[[#This Row],[Umiej.prakt.]],1)),0,Tabela_kier[[#This Row],[ects.razem]])</f>
        <v>1</v>
      </c>
      <c r="AP67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67" s="391">
        <f>SUM(Tabela_kier[[#This Row],[godziny.samoksztalcenie]],Tabela_kier[[#This Row],[godziny.konsultacja]],Tabela_kier[[#This Row],[godziny.egzamin]],Tabela_kier[[#This Row],[godziny.zajec.razem]])</f>
        <v>27</v>
      </c>
      <c r="AR67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67" s="393">
        <f>INT(Tabela_kier[[#This Row],[godziny.zajec.razem]]*0.1)</f>
        <v>1</v>
      </c>
      <c r="AT67" s="394">
        <f>IF(Tabela_kier[[#This Row],[godziny.zajec.razem]]&gt;0,IF(Tabela_kier[[#This Row],[godziny.zajec.razem]]&gt;=45,4,2),0)</f>
        <v>2</v>
      </c>
      <c r="AU67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67" s="396">
        <f>IF(Tabela_kier[[#This Row],[ects.bezposr.nauczyciel]],Tabela_kier[[#This Row],[ects.bezposr.nauczyciel]]/Tabela_kier[[#This Row],[ects.razem]],0)</f>
        <v>0.5</v>
      </c>
      <c r="AW67" s="49"/>
    </row>
    <row r="68" spans="1:49" ht="25.5" customHeight="1" x14ac:dyDescent="0.3">
      <c r="A68" s="207"/>
      <c r="B68" s="397" t="s">
        <v>482</v>
      </c>
      <c r="C68" s="584">
        <v>501</v>
      </c>
      <c r="D68" s="362" t="s">
        <v>522</v>
      </c>
      <c r="E68" s="362" t="s">
        <v>604</v>
      </c>
      <c r="F68" s="364" t="s">
        <v>520</v>
      </c>
      <c r="G68" s="365"/>
      <c r="H68" s="366" t="s">
        <v>39</v>
      </c>
      <c r="I68" s="367" t="s">
        <v>32</v>
      </c>
      <c r="J68" s="368"/>
      <c r="K68" s="369" t="str" cm="1">
        <f t="array" ref="K68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8" s="368"/>
      <c r="M68" s="370"/>
      <c r="N68" s="371" t="str" cm="1">
        <f t="array" ref="N68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8" s="370"/>
      <c r="P68" s="372"/>
      <c r="Q68" s="373" t="str" cm="1">
        <f t="array" ref="Q68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8" s="372"/>
      <c r="S68" s="374"/>
      <c r="T68" s="375" t="str" cm="1">
        <f t="array" ref="T68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68" s="374"/>
      <c r="V68" s="673">
        <v>30</v>
      </c>
      <c r="W68" s="445">
        <v>3</v>
      </c>
      <c r="X68" s="673" t="s">
        <v>33</v>
      </c>
      <c r="Y68" s="674"/>
      <c r="Z68" s="446" t="str" cm="1">
        <f t="array" ref="Z68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68" s="674"/>
      <c r="AB68" s="380"/>
      <c r="AC68" s="381" t="str" cm="1">
        <f t="array" ref="AC68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8" s="380"/>
      <c r="AE68" s="382"/>
      <c r="AF68" s="383" t="str" cm="1">
        <f t="array" ref="AF68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8" s="382"/>
      <c r="AH68" s="384"/>
      <c r="AI68" s="385" t="str" cm="1">
        <f t="array" ref="AI68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8" s="384"/>
      <c r="AK68" s="386"/>
      <c r="AL68" s="387" t="str" cm="1">
        <f t="array" ref="AL68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8" s="386"/>
      <c r="AN68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68" s="389">
        <f>IF(ISERR(SEARCH("UP",Tabela_kier[[#This Row],[Umiej.prakt.]],1)),0,Tabela_kier[[#This Row],[ects.razem]])</f>
        <v>3</v>
      </c>
      <c r="AP68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68" s="391">
        <f>SUM(Tabela_kier[[#This Row],[godziny.samoksztalcenie]],Tabela_kier[[#This Row],[godziny.konsultacja]],Tabela_kier[[#This Row],[godziny.egzamin]],Tabela_kier[[#This Row],[godziny.zajec.razem]])</f>
        <v>52</v>
      </c>
      <c r="AR68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68" s="393">
        <f>INT(Tabela_kier[[#This Row],[godziny.zajec.razem]]*0.1)</f>
        <v>3</v>
      </c>
      <c r="AT68" s="394">
        <f>IF(Tabela_kier[[#This Row],[godziny.zajec.razem]]&gt;0,IF(Tabela_kier[[#This Row],[godziny.zajec.razem]]&gt;=45,4,2),0)</f>
        <v>2</v>
      </c>
      <c r="AU68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68" s="396">
        <f>IF(Tabela_kier[[#This Row],[ects.bezposr.nauczyciel]],Tabela_kier[[#This Row],[ects.bezposr.nauczyciel]]/Tabela_kier[[#This Row],[ects.razem]],0)</f>
        <v>0.5</v>
      </c>
      <c r="AW68" s="49"/>
    </row>
    <row r="69" spans="1:49" ht="25.5" customHeight="1" x14ac:dyDescent="0.3">
      <c r="A69" s="207"/>
      <c r="B69" s="397" t="s">
        <v>482</v>
      </c>
      <c r="C69" s="584">
        <v>501</v>
      </c>
      <c r="D69" s="362" t="s">
        <v>524</v>
      </c>
      <c r="E69" s="362" t="s">
        <v>604</v>
      </c>
      <c r="F69" s="364" t="s">
        <v>523</v>
      </c>
      <c r="G69" s="365"/>
      <c r="H69" s="366" t="s">
        <v>37</v>
      </c>
      <c r="I69" s="367" t="s">
        <v>32</v>
      </c>
      <c r="J69" s="368"/>
      <c r="K69" s="369" t="str" cm="1">
        <f t="array" ref="K69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69" s="368"/>
      <c r="M69" s="370"/>
      <c r="N69" s="371" t="str" cm="1">
        <f t="array" ref="N69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69" s="370"/>
      <c r="P69" s="372"/>
      <c r="Q69" s="373" t="str" cm="1">
        <f t="array" ref="Q69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69" s="372"/>
      <c r="S69" s="374"/>
      <c r="T69" s="375" t="str" cm="1">
        <f t="array" ref="T69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69" s="374"/>
      <c r="V69" s="673"/>
      <c r="W69" s="445" t="str" cm="1">
        <f t="array" ref="W69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69" s="673"/>
      <c r="Y69" s="674">
        <v>15</v>
      </c>
      <c r="Z69" s="446" cm="1">
        <f t="array" ref="Z69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>1</v>
      </c>
      <c r="AA69" s="674" t="s">
        <v>33</v>
      </c>
      <c r="AB69" s="380"/>
      <c r="AC69" s="381" t="str" cm="1">
        <f t="array" ref="AC69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69" s="380"/>
      <c r="AE69" s="382"/>
      <c r="AF69" s="383" t="str" cm="1">
        <f t="array" ref="AF69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69" s="382"/>
      <c r="AH69" s="384"/>
      <c r="AI69" s="385" t="str" cm="1">
        <f t="array" ref="AI69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69" s="384"/>
      <c r="AK69" s="386"/>
      <c r="AL69" s="387" t="str" cm="1">
        <f t="array" ref="AL69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69" s="386"/>
      <c r="AN69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69" s="389">
        <f>IF(ISERR(SEARCH("UP",Tabela_kier[[#This Row],[Umiej.prakt.]],1)),0,Tabela_kier[[#This Row],[ects.razem]])</f>
        <v>1</v>
      </c>
      <c r="AP69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69" s="391">
        <f>SUM(Tabela_kier[[#This Row],[godziny.samoksztalcenie]],Tabela_kier[[#This Row],[godziny.konsultacja]],Tabela_kier[[#This Row],[godziny.egzamin]],Tabela_kier[[#This Row],[godziny.zajec.razem]])</f>
        <v>27</v>
      </c>
      <c r="AR69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69" s="393">
        <f>INT(Tabela_kier[[#This Row],[godziny.zajec.razem]]*0.1)</f>
        <v>1</v>
      </c>
      <c r="AT69" s="394">
        <f>IF(Tabela_kier[[#This Row],[godziny.zajec.razem]]&gt;0,IF(Tabela_kier[[#This Row],[godziny.zajec.razem]]&gt;=45,4,2),0)</f>
        <v>2</v>
      </c>
      <c r="AU69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69" s="396">
        <f>IF(Tabela_kier[[#This Row],[ects.bezposr.nauczyciel]],Tabela_kier[[#This Row],[ects.bezposr.nauczyciel]]/Tabela_kier[[#This Row],[ects.razem]],0)</f>
        <v>0.5</v>
      </c>
      <c r="AW69" s="49"/>
    </row>
    <row r="70" spans="1:49" ht="25.5" customHeight="1" x14ac:dyDescent="0.3">
      <c r="A70" s="207"/>
      <c r="B70" s="397" t="s">
        <v>482</v>
      </c>
      <c r="C70" s="584">
        <v>501</v>
      </c>
      <c r="D70" s="362" t="s">
        <v>525</v>
      </c>
      <c r="E70" s="362" t="s">
        <v>604</v>
      </c>
      <c r="F70" s="401" t="s">
        <v>523</v>
      </c>
      <c r="G70" s="365"/>
      <c r="H70" s="366" t="s">
        <v>39</v>
      </c>
      <c r="I70" s="367" t="s">
        <v>32</v>
      </c>
      <c r="J70" s="368"/>
      <c r="K70" s="369" t="str" cm="1">
        <f t="array" ref="K70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0" s="368"/>
      <c r="M70" s="370"/>
      <c r="N70" s="371" t="str" cm="1">
        <f t="array" ref="N70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70" s="370"/>
      <c r="P70" s="372"/>
      <c r="Q70" s="373" t="str" cm="1">
        <f t="array" ref="Q70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70" s="372"/>
      <c r="S70" s="374"/>
      <c r="T70" s="375" t="str" cm="1">
        <f t="array" ref="T70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70" s="374"/>
      <c r="V70" s="673"/>
      <c r="W70" s="445" t="str" cm="1">
        <f t="array" ref="W70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0" s="673"/>
      <c r="Y70" s="674">
        <v>15</v>
      </c>
      <c r="Z70" s="446" cm="1">
        <f t="array" ref="Z70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>1</v>
      </c>
      <c r="AA70" s="674" t="s">
        <v>33</v>
      </c>
      <c r="AB70" s="380"/>
      <c r="AC70" s="381" t="str" cm="1">
        <f t="array" ref="AC70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0" s="380"/>
      <c r="AE70" s="382"/>
      <c r="AF70" s="383" t="str" cm="1">
        <f t="array" ref="AF70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0" s="382"/>
      <c r="AH70" s="384"/>
      <c r="AI70" s="385" t="str" cm="1">
        <f t="array" ref="AI70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0" s="384"/>
      <c r="AK70" s="386"/>
      <c r="AL70" s="387" t="str" cm="1">
        <f t="array" ref="AL70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0" s="386"/>
      <c r="AN70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70" s="389">
        <f>IF(ISERR(SEARCH("UP",Tabela_kier[[#This Row],[Umiej.prakt.]],1)),0,Tabela_kier[[#This Row],[ects.razem]])</f>
        <v>1</v>
      </c>
      <c r="AP70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70" s="391">
        <f>SUM(Tabela_kier[[#This Row],[godziny.samoksztalcenie]],Tabela_kier[[#This Row],[godziny.konsultacja]],Tabela_kier[[#This Row],[godziny.egzamin]],Tabela_kier[[#This Row],[godziny.zajec.razem]])</f>
        <v>27</v>
      </c>
      <c r="AR70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70" s="393">
        <f>INT(Tabela_kier[[#This Row],[godziny.zajec.razem]]*0.1)</f>
        <v>1</v>
      </c>
      <c r="AT70" s="394">
        <f>IF(Tabela_kier[[#This Row],[godziny.zajec.razem]]&gt;0,IF(Tabela_kier[[#This Row],[godziny.zajec.razem]]&gt;=45,4,2),0)</f>
        <v>2</v>
      </c>
      <c r="AU70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70" s="396">
        <f>IF(Tabela_kier[[#This Row],[ects.bezposr.nauczyciel]],Tabela_kier[[#This Row],[ects.bezposr.nauczyciel]]/Tabela_kier[[#This Row],[ects.razem]],0)</f>
        <v>0.5</v>
      </c>
      <c r="AW70" s="49"/>
    </row>
    <row r="71" spans="1:49" ht="25.5" customHeight="1" x14ac:dyDescent="0.3">
      <c r="A71" s="207"/>
      <c r="B71" s="397" t="s">
        <v>447</v>
      </c>
      <c r="C71" s="584">
        <v>507</v>
      </c>
      <c r="D71" s="362" t="s">
        <v>527</v>
      </c>
      <c r="E71" s="362"/>
      <c r="F71" s="401" t="s">
        <v>526</v>
      </c>
      <c r="G71" s="365"/>
      <c r="H71" s="366" t="s">
        <v>37</v>
      </c>
      <c r="I71" s="367" t="s">
        <v>32</v>
      </c>
      <c r="J71" s="368"/>
      <c r="K71" s="369" t="str" cm="1">
        <f t="array" ref="K71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1" s="368"/>
      <c r="M71" s="370"/>
      <c r="N71" s="371" t="str" cm="1">
        <f t="array" ref="N71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71" s="370"/>
      <c r="P71" s="372"/>
      <c r="Q71" s="373" t="str" cm="1">
        <f t="array" ref="Q71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71" s="372"/>
      <c r="S71" s="374"/>
      <c r="T71" s="375" t="str" cm="1">
        <f t="array" ref="T71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71" s="374"/>
      <c r="V71" s="673"/>
      <c r="W71" s="445" t="str" cm="1">
        <f t="array" ref="W71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1" s="673"/>
      <c r="Y71" s="674">
        <v>30</v>
      </c>
      <c r="Z71" s="446">
        <v>3</v>
      </c>
      <c r="AA71" s="674" t="s">
        <v>33</v>
      </c>
      <c r="AB71" s="380"/>
      <c r="AC71" s="381" t="str" cm="1">
        <f t="array" ref="AC71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1" s="380"/>
      <c r="AE71" s="382"/>
      <c r="AF71" s="383" t="str" cm="1">
        <f t="array" ref="AF71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1" s="382"/>
      <c r="AH71" s="384"/>
      <c r="AI71" s="385" t="str" cm="1">
        <f t="array" ref="AI71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1" s="384"/>
      <c r="AK71" s="386"/>
      <c r="AL71" s="387" t="str" cm="1">
        <f t="array" ref="AL71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1" s="386"/>
      <c r="AN71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71" s="389">
        <f>IF(ISERR(SEARCH("UP",Tabela_kier[[#This Row],[Umiej.prakt.]],1)),0,Tabela_kier[[#This Row],[ects.razem]])</f>
        <v>0</v>
      </c>
      <c r="AP71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71" s="391">
        <f>SUM(Tabela_kier[[#This Row],[godziny.samoksztalcenie]],Tabela_kier[[#This Row],[godziny.konsultacja]],Tabela_kier[[#This Row],[godziny.egzamin]],Tabela_kier[[#This Row],[godziny.zajec.razem]])</f>
        <v>52</v>
      </c>
      <c r="AR71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71" s="393">
        <f>INT(Tabela_kier[[#This Row],[godziny.zajec.razem]]*0.1)</f>
        <v>3</v>
      </c>
      <c r="AT71" s="394">
        <f>IF(Tabela_kier[[#This Row],[godziny.zajec.razem]]&gt;0,IF(Tabela_kier[[#This Row],[godziny.zajec.razem]]&gt;=45,4,2),0)</f>
        <v>2</v>
      </c>
      <c r="AU71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71" s="396">
        <f>IF(Tabela_kier[[#This Row],[ects.bezposr.nauczyciel]],Tabela_kier[[#This Row],[ects.bezposr.nauczyciel]]/Tabela_kier[[#This Row],[ects.razem]],0)</f>
        <v>0.5</v>
      </c>
      <c r="AW71" s="49"/>
    </row>
    <row r="72" spans="1:49" ht="25.5" customHeight="1" x14ac:dyDescent="0.3">
      <c r="A72" s="207"/>
      <c r="B72" s="397" t="s">
        <v>447</v>
      </c>
      <c r="C72" s="584">
        <v>507</v>
      </c>
      <c r="D72" s="362" t="s">
        <v>610</v>
      </c>
      <c r="E72" s="362"/>
      <c r="F72" s="401" t="s">
        <v>526</v>
      </c>
      <c r="G72" s="365"/>
      <c r="H72" s="366" t="s">
        <v>31</v>
      </c>
      <c r="I72" s="367" t="s">
        <v>32</v>
      </c>
      <c r="J72" s="368"/>
      <c r="K72" s="369" t="str" cm="1">
        <f t="array" ref="K72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2" s="368"/>
      <c r="M72" s="370"/>
      <c r="N72" s="371" t="str" cm="1">
        <f t="array" ref="N72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72" s="370"/>
      <c r="P72" s="372"/>
      <c r="Q72" s="373" t="str" cm="1">
        <f t="array" ref="Q72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72" s="372"/>
      <c r="S72" s="374"/>
      <c r="T72" s="375" t="str" cm="1">
        <f t="array" ref="T72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72" s="374"/>
      <c r="V72" s="673"/>
      <c r="W72" s="445" t="str" cm="1">
        <f t="array" ref="W72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2" s="673"/>
      <c r="Y72" s="674">
        <v>30</v>
      </c>
      <c r="Z72" s="446">
        <v>3</v>
      </c>
      <c r="AA72" s="674" t="s">
        <v>33</v>
      </c>
      <c r="AB72" s="380"/>
      <c r="AC72" s="381" t="str" cm="1">
        <f t="array" ref="AC72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2" s="380"/>
      <c r="AE72" s="382"/>
      <c r="AF72" s="383" t="str" cm="1">
        <f t="array" ref="AF72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2" s="382"/>
      <c r="AH72" s="384"/>
      <c r="AI72" s="385" t="str" cm="1">
        <f t="array" ref="AI72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2" s="384"/>
      <c r="AK72" s="386"/>
      <c r="AL72" s="387" t="str" cm="1">
        <f t="array" ref="AL72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2" s="386"/>
      <c r="AN72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72" s="389">
        <f>IF(ISERR(SEARCH("UP",Tabela_kier[[#This Row],[Umiej.prakt.]],1)),0,Tabela_kier[[#This Row],[ects.razem]])</f>
        <v>0</v>
      </c>
      <c r="AP72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72" s="391">
        <f>SUM(Tabela_kier[[#This Row],[godziny.samoksztalcenie]],Tabela_kier[[#This Row],[godziny.konsultacja]],Tabela_kier[[#This Row],[godziny.egzamin]],Tabela_kier[[#This Row],[godziny.zajec.razem]])</f>
        <v>52</v>
      </c>
      <c r="AR72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72" s="393">
        <f>INT(Tabela_kier[[#This Row],[godziny.zajec.razem]]*0.1)</f>
        <v>3</v>
      </c>
      <c r="AT72" s="394">
        <f>IF(Tabela_kier[[#This Row],[godziny.zajec.razem]]&gt;0,IF(Tabela_kier[[#This Row],[godziny.zajec.razem]]&gt;=45,4,2),0)</f>
        <v>2</v>
      </c>
      <c r="AU72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72" s="396">
        <f>IF(Tabela_kier[[#This Row],[ects.bezposr.nauczyciel]],Tabela_kier[[#This Row],[ects.bezposr.nauczyciel]]/Tabela_kier[[#This Row],[ects.razem]],0)</f>
        <v>0.5</v>
      </c>
      <c r="AW72" s="49"/>
    </row>
    <row r="73" spans="1:49" ht="25.5" customHeight="1" x14ac:dyDescent="0.3">
      <c r="A73" s="207"/>
      <c r="B73" s="397" t="s">
        <v>462</v>
      </c>
      <c r="C73" s="584">
        <v>505</v>
      </c>
      <c r="D73" s="362" t="s">
        <v>529</v>
      </c>
      <c r="E73" s="362"/>
      <c r="F73" s="401" t="s">
        <v>528</v>
      </c>
      <c r="G73" s="365"/>
      <c r="H73" s="366" t="s">
        <v>37</v>
      </c>
      <c r="I73" s="367" t="s">
        <v>32</v>
      </c>
      <c r="J73" s="368"/>
      <c r="K73" s="369" t="str" cm="1">
        <f t="array" ref="K73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3" s="368"/>
      <c r="M73" s="370"/>
      <c r="N73" s="371" t="str" cm="1">
        <f t="array" ref="N73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73" s="370"/>
      <c r="P73" s="372"/>
      <c r="Q73" s="373" t="str" cm="1">
        <f t="array" ref="Q73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73" s="372"/>
      <c r="S73" s="374"/>
      <c r="T73" s="375" t="str" cm="1">
        <f t="array" ref="T73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73" s="374"/>
      <c r="V73" s="673"/>
      <c r="W73" s="445" t="str" cm="1">
        <f t="array" ref="W73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3" s="673"/>
      <c r="Y73" s="674">
        <v>30</v>
      </c>
      <c r="Z73" s="446">
        <v>3</v>
      </c>
      <c r="AA73" s="674" t="s">
        <v>33</v>
      </c>
      <c r="AB73" s="380"/>
      <c r="AC73" s="381" t="str" cm="1">
        <f t="array" ref="AC73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3" s="380"/>
      <c r="AE73" s="382"/>
      <c r="AF73" s="383" t="str" cm="1">
        <f t="array" ref="AF73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3" s="382"/>
      <c r="AH73" s="384"/>
      <c r="AI73" s="385" t="str" cm="1">
        <f t="array" ref="AI73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3" s="384"/>
      <c r="AK73" s="386"/>
      <c r="AL73" s="387" t="str" cm="1">
        <f t="array" ref="AL73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3" s="386"/>
      <c r="AN73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3</v>
      </c>
      <c r="AO73" s="389">
        <f>IF(ISERR(SEARCH("UP",Tabela_kier[[#This Row],[Umiej.prakt.]],1)),0,Tabela_kier[[#This Row],[ects.razem]])</f>
        <v>0</v>
      </c>
      <c r="AP73" s="390">
        <f>IF(Tabela_kier[[#This Row],[czy.ects]]="TAK",ROUND((SUM(Tabela_kier[[#This Row],[godziny.konsultacja]],Tabela_kier[[#This Row],[godziny.egzamin]],Tabela_kier[[#This Row],[godziny.zajec.razem]])/25)/0.5,0)*0.5,0)</f>
        <v>1.5</v>
      </c>
      <c r="AQ73" s="391">
        <f>SUM(Tabela_kier[[#This Row],[godziny.samoksztalcenie]],Tabela_kier[[#This Row],[godziny.konsultacja]],Tabela_kier[[#This Row],[godziny.egzamin]],Tabela_kier[[#This Row],[godziny.zajec.razem]])</f>
        <v>52</v>
      </c>
      <c r="AR73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73" s="393">
        <f>INT(Tabela_kier[[#This Row],[godziny.zajec.razem]]*0.1)</f>
        <v>3</v>
      </c>
      <c r="AT73" s="394">
        <f>IF(Tabela_kier[[#This Row],[godziny.zajec.razem]]&gt;0,IF(Tabela_kier[[#This Row],[godziny.zajec.razem]]&gt;=45,4,2),0)</f>
        <v>2</v>
      </c>
      <c r="AU73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73" s="396">
        <f>IF(Tabela_kier[[#This Row],[ects.bezposr.nauczyciel]],Tabela_kier[[#This Row],[ects.bezposr.nauczyciel]]/Tabela_kier[[#This Row],[ects.razem]],0)</f>
        <v>0.5</v>
      </c>
      <c r="AW73" s="49"/>
    </row>
    <row r="74" spans="1:49" ht="25.5" customHeight="1" x14ac:dyDescent="0.3">
      <c r="A74" s="207"/>
      <c r="B74" s="397" t="s">
        <v>490</v>
      </c>
      <c r="C74" s="584">
        <v>501</v>
      </c>
      <c r="D74" s="362" t="s">
        <v>531</v>
      </c>
      <c r="E74" s="362" t="s">
        <v>604</v>
      </c>
      <c r="F74" s="401" t="s">
        <v>532</v>
      </c>
      <c r="G74" s="365"/>
      <c r="H74" s="366" t="s">
        <v>37</v>
      </c>
      <c r="I74" s="367" t="s">
        <v>32</v>
      </c>
      <c r="J74" s="368"/>
      <c r="K74" s="369" t="str" cm="1">
        <f t="array" ref="K74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4" s="368"/>
      <c r="M74" s="370"/>
      <c r="N74" s="371" t="str" cm="1">
        <f t="array" ref="N74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74" s="370"/>
      <c r="P74" s="372"/>
      <c r="Q74" s="373" t="str" cm="1">
        <f t="array" ref="Q74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74" s="372"/>
      <c r="S74" s="374">
        <v>15</v>
      </c>
      <c r="T74" s="375" cm="1">
        <f t="array" ref="T74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>1</v>
      </c>
      <c r="U74" s="374" t="s">
        <v>33</v>
      </c>
      <c r="V74" s="673"/>
      <c r="W74" s="445" t="str" cm="1">
        <f t="array" ref="W74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4" s="673"/>
      <c r="Y74" s="674"/>
      <c r="Z74" s="446" t="str" cm="1">
        <f t="array" ref="Z74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74" s="674"/>
      <c r="AB74" s="380"/>
      <c r="AC74" s="381" t="str" cm="1">
        <f t="array" ref="AC74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4" s="380"/>
      <c r="AE74" s="382"/>
      <c r="AF74" s="383" t="str" cm="1">
        <f t="array" ref="AF74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4" s="382"/>
      <c r="AH74" s="384"/>
      <c r="AI74" s="385" t="str" cm="1">
        <f t="array" ref="AI74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4" s="384"/>
      <c r="AK74" s="386"/>
      <c r="AL74" s="387" t="str" cm="1">
        <f t="array" ref="AL74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4" s="386"/>
      <c r="AN74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</v>
      </c>
      <c r="AO74" s="389">
        <f>IF(ISERR(SEARCH("UP",Tabela_kier[[#This Row],[Umiej.prakt.]],1)),0,Tabela_kier[[#This Row],[ects.razem]])</f>
        <v>1</v>
      </c>
      <c r="AP74" s="390">
        <f>IF(Tabela_kier[[#This Row],[czy.ects]]="TAK",ROUND((SUM(Tabela_kier[[#This Row],[godziny.konsultacja]],Tabela_kier[[#This Row],[godziny.egzamin]],Tabela_kier[[#This Row],[godziny.zajec.razem]])/25)/0.5,0)*0.5,0)</f>
        <v>0.5</v>
      </c>
      <c r="AQ74" s="391">
        <f>SUM(Tabela_kier[[#This Row],[godziny.samoksztalcenie]],Tabela_kier[[#This Row],[godziny.konsultacja]],Tabela_kier[[#This Row],[godziny.egzamin]],Tabela_kier[[#This Row],[godziny.zajec.razem]])</f>
        <v>27</v>
      </c>
      <c r="AR74" s="392">
        <f>INT(SUM(Tabela_kier[[#This Row],[godziny.konsultacja]],Tabela_kier[[#This Row],[godziny.egzamin]],Tabela_kier[[#This Row],[godziny.zajec.razem]])*0.5+Tabela_kier[[#This Row],[godziny.zajec.razem]]*(15-$G$194)/9)</f>
        <v>9</v>
      </c>
      <c r="AS74" s="393">
        <f>INT(Tabela_kier[[#This Row],[godziny.zajec.razem]]*0.1)</f>
        <v>1</v>
      </c>
      <c r="AT74" s="394">
        <f>IF(Tabela_kier[[#This Row],[godziny.zajec.razem]]&gt;0,IF(Tabela_kier[[#This Row],[godziny.zajec.razem]]&gt;=45,4,2),0)</f>
        <v>2</v>
      </c>
      <c r="AU74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15</v>
      </c>
      <c r="AV74" s="396">
        <f>IF(Tabela_kier[[#This Row],[ects.bezposr.nauczyciel]],Tabela_kier[[#This Row],[ects.bezposr.nauczyciel]]/Tabela_kier[[#This Row],[ects.razem]],0)</f>
        <v>0.5</v>
      </c>
      <c r="AW74" s="49"/>
    </row>
    <row r="75" spans="1:49" ht="25.5" customHeight="1" x14ac:dyDescent="0.3">
      <c r="A75" s="207"/>
      <c r="B75" s="397" t="s">
        <v>490</v>
      </c>
      <c r="C75" s="584">
        <v>501</v>
      </c>
      <c r="D75" s="362" t="s">
        <v>533</v>
      </c>
      <c r="E75" s="362"/>
      <c r="F75" s="401" t="s">
        <v>534</v>
      </c>
      <c r="G75" s="365"/>
      <c r="H75" s="366" t="s">
        <v>34</v>
      </c>
      <c r="I75" s="367" t="s">
        <v>367</v>
      </c>
      <c r="J75" s="368"/>
      <c r="K75" s="369" t="str" cm="1">
        <f t="array" ref="K75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5" s="368"/>
      <c r="M75" s="370">
        <v>15</v>
      </c>
      <c r="N75" s="371" t="str" cm="1">
        <f t="array" ref="N75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/>
      </c>
      <c r="O75" s="370" t="s">
        <v>48</v>
      </c>
      <c r="P75" s="372">
        <v>15</v>
      </c>
      <c r="Q75" s="373" t="str" cm="1">
        <f t="array" ref="Q75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/>
      </c>
      <c r="R75" s="372" t="s">
        <v>48</v>
      </c>
      <c r="S75" s="374"/>
      <c r="T75" s="375" t="str" cm="1">
        <f t="array" ref="T75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75" s="374"/>
      <c r="V75" s="673"/>
      <c r="W75" s="445" t="str" cm="1">
        <f t="array" ref="W75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5" s="673"/>
      <c r="Y75" s="674"/>
      <c r="Z75" s="446" t="str" cm="1">
        <f t="array" ref="Z75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75" s="674"/>
      <c r="AB75" s="380"/>
      <c r="AC75" s="381" t="str" cm="1">
        <f t="array" ref="AC75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5" s="380"/>
      <c r="AE75" s="382"/>
      <c r="AF75" s="383" t="str" cm="1">
        <f t="array" ref="AF75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5" s="382"/>
      <c r="AH75" s="384"/>
      <c r="AI75" s="385" t="str" cm="1">
        <f t="array" ref="AI75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5" s="384"/>
      <c r="AK75" s="386"/>
      <c r="AL75" s="387" t="str" cm="1">
        <f t="array" ref="AL75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5" s="386"/>
      <c r="AN75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0</v>
      </c>
      <c r="AO75" s="389">
        <f>IF(ISERR(SEARCH("UP",Tabela_kier[[#This Row],[Umiej.prakt.]],1)),0,Tabela_kier[[#This Row],[ects.razem]])</f>
        <v>0</v>
      </c>
      <c r="AP75" s="390">
        <f>IF(Tabela_kier[[#This Row],[czy.ects]]="TAK",ROUND((SUM(Tabela_kier[[#This Row],[godziny.konsultacja]],Tabela_kier[[#This Row],[godziny.egzamin]],Tabela_kier[[#This Row],[godziny.zajec.razem]])/25)/0.5,0)*0.5,0)</f>
        <v>0</v>
      </c>
      <c r="AQ75" s="391">
        <f>SUM(Tabela_kier[[#This Row],[godziny.samoksztalcenie]],Tabela_kier[[#This Row],[godziny.konsultacja]],Tabela_kier[[#This Row],[godziny.egzamin]],Tabela_kier[[#This Row],[godziny.zajec.razem]])</f>
        <v>52</v>
      </c>
      <c r="AR75" s="392">
        <f>INT(SUM(Tabela_kier[[#This Row],[godziny.konsultacja]],Tabela_kier[[#This Row],[godziny.egzamin]],Tabela_kier[[#This Row],[godziny.zajec.razem]])*0.5+Tabela_kier[[#This Row],[godziny.zajec.razem]]*(15-$G$194)/9)</f>
        <v>17</v>
      </c>
      <c r="AS75" s="393">
        <f>INT(Tabela_kier[[#This Row],[godziny.zajec.razem]]*0.1)</f>
        <v>3</v>
      </c>
      <c r="AT75" s="394">
        <f>IF(Tabela_kier[[#This Row],[godziny.zajec.razem]]&gt;0,IF(Tabela_kier[[#This Row],[godziny.zajec.razem]]&gt;=45,4,2),0)</f>
        <v>2</v>
      </c>
      <c r="AU75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30</v>
      </c>
      <c r="AV75" s="396">
        <f>IF(Tabela_kier[[#This Row],[ects.bezposr.nauczyciel]],Tabela_kier[[#This Row],[ects.bezposr.nauczyciel]]/Tabela_kier[[#This Row],[ects.razem]],0)</f>
        <v>0</v>
      </c>
      <c r="AW75" s="49"/>
    </row>
    <row r="76" spans="1:49" ht="25.5" customHeight="1" x14ac:dyDescent="0.3">
      <c r="A76" s="207"/>
      <c r="B76" s="397" t="s">
        <v>490</v>
      </c>
      <c r="C76" s="584">
        <v>501</v>
      </c>
      <c r="D76" s="362" t="s">
        <v>535</v>
      </c>
      <c r="E76" s="362" t="s">
        <v>604</v>
      </c>
      <c r="F76" s="401" t="s">
        <v>611</v>
      </c>
      <c r="G76" s="365"/>
      <c r="H76" s="366" t="s">
        <v>43</v>
      </c>
      <c r="I76" s="367" t="s">
        <v>32</v>
      </c>
      <c r="J76" s="368"/>
      <c r="K76" s="369" t="str" cm="1">
        <f t="array" ref="K76">IF(Tabela_kier[[#This Row],[czy.ects]]="TAK",_xlfn.IFS(AND(Tabela_kier[[#This Row],[sem1.godziny]]&gt;=$Q$194,Tabela_kier[[#This Row],[sem1.forma]]="z"),8,AND(Tabela_kier[[#This Row],[sem1.godziny]]&gt;=$I$194,Tabela_kier[[#This Row],[sem1.forma]]="z"),4,AND(Tabela_kier[[#This Row],[sem1.godziny]]&gt;=$H$194,Tabela_kier[[#This Row],[sem1.forma]]="e"),2,AND(Tabela_kier[[#This Row],[sem1.godziny]]&lt;$H$194,Tabela_kier[[#This Row],[sem1.forma]]="e"),1,AND(Tabela_kier[[#This Row],[sem1.godziny]]&gt;=$H$194,Tabela_kier[[#This Row],[sem1.forma]]="z"),2,AND(Tabela_kier[[#This Row],[sem1.godziny]]&lt;$H$194,Tabela_kier[[#This Row],[sem1.forma]]="z"),1,TRUE,""),"")</f>
        <v/>
      </c>
      <c r="L76" s="368"/>
      <c r="M76" s="370">
        <v>200</v>
      </c>
      <c r="N76" s="371" cm="1">
        <f t="array" ref="N76">IF(Tabela_kier[[#This Row],[czy.ects]]="TAK",_xlfn.IFS(AND(Tabela_kier[[#This Row],[sem2.godziny]]&gt;=$Q$194,Tabela_kier[[#This Row],[sem2.forma]]="z"),8,AND(Tabela_kier[[#This Row],[sem2.godziny]]&gt;=$I$194,Tabela_kier[[#This Row],[sem2.forma]]="z"),4,AND(Tabela_kier[[#This Row],[sem2.godziny]]&gt;=$H$194,Tabela_kier[[#This Row],[sem2.forma]]="e"),2,AND(Tabela_kier[[#This Row],[sem2.godziny]]&lt;$H$194,Tabela_kier[[#This Row],[sem2.forma]]="e"),1,AND(Tabela_kier[[#This Row],[sem2.godziny]]&gt;=$H$194,Tabela_kier[[#This Row],[sem2.forma]]="z"),2,AND(Tabela_kier[[#This Row],[sem2.godziny]]&lt;$H$194,Tabela_kier[[#This Row],[sem2.forma]]="z"),1,TRUE,""),"")</f>
        <v>8</v>
      </c>
      <c r="O76" s="370" t="s">
        <v>33</v>
      </c>
      <c r="P76" s="372">
        <v>200</v>
      </c>
      <c r="Q76" s="373" cm="1">
        <f t="array" ref="Q76">IF(Tabela_kier[[#This Row],[czy.ects]]="TAK",_xlfn.IFS(AND(Tabela_kier[[#This Row],[sem3.godziny]]&gt;=$Q$194,Tabela_kier[[#This Row],[sem3.forma]]="z"),8,AND(Tabela_kier[[#This Row],[sem3.godziny]]&gt;=$I$194,Tabela_kier[[#This Row],[sem3.forma]]="z"),4,AND(Tabela_kier[[#This Row],[sem3.godziny]]&gt;=$H$194,Tabela_kier[[#This Row],[sem3.forma]]="e"),2,AND(Tabela_kier[[#This Row],[sem3.godziny]]&lt;$H$194,Tabela_kier[[#This Row],[sem3.forma]]="e"),1,AND(Tabela_kier[[#This Row],[sem3.godziny]]&gt;=$H$194,Tabela_kier[[#This Row],[sem3.forma]]="z"),2,AND(Tabela_kier[[#This Row],[sem3.godziny]]&lt;$H$194,Tabela_kier[[#This Row],[sem3.forma]]="z"),1,TRUE,""),"")</f>
        <v>8</v>
      </c>
      <c r="R76" s="372" t="s">
        <v>33</v>
      </c>
      <c r="S76" s="374"/>
      <c r="T76" s="375" t="str" cm="1">
        <f t="array" ref="T76">IF(Tabela_kier[[#This Row],[czy.ects]]="TAK",_xlfn.IFS(AND(Tabela_kier[[#This Row],[sem4.godziny]]&gt;=$Q$194,Tabela_kier[[#This Row],[sem4.forma]]="z"),8,AND(Tabela_kier[[#This Row],[sem4.godziny]]&gt;=$I$194,Tabela_kier[[#This Row],[sem4.forma]]="z"),4,AND(Tabela_kier[[#This Row],[sem4.godziny]]&gt;=$H$194,Tabela_kier[[#This Row],[sem4.forma]]="e"),2,AND(Tabela_kier[[#This Row],[sem4.godziny]]&lt;$H$194,Tabela_kier[[#This Row],[sem4.forma]]="e"),1,AND(Tabela_kier[[#This Row],[sem4.godziny]]&gt;=$H$194,Tabela_kier[[#This Row],[sem4.forma]]="z"),2,AND(Tabela_kier[[#This Row],[sem4.godziny]]&lt;$H$194,Tabela_kier[[#This Row],[sem4.forma]]="z"),1,TRUE,""),"")</f>
        <v/>
      </c>
      <c r="U76" s="374"/>
      <c r="V76" s="673"/>
      <c r="W76" s="445" t="str" cm="1">
        <f t="array" ref="W76">IF(Tabela_kier[[#This Row],[czy.ects]]="TAK",_xlfn.IFS(AND(Tabela_kier[[#This Row],[sem5.godziny]]&gt;=$Q$194,Tabela_kier[[#This Row],[sem5.forma]]="z"),8,AND(Tabela_kier[[#This Row],[sem5.godziny]]&gt;=$I$194,Tabela_kier[[#This Row],[sem5.forma]]="z"),4,AND(Tabela_kier[[#This Row],[sem5.godziny]]&gt;=$H$194,Tabela_kier[[#This Row],[sem5.forma]]="e"),2,AND(Tabela_kier[[#This Row],[sem5.godziny]]&lt;$H$194,Tabela_kier[[#This Row],[sem5.forma]]="e"),1,AND(Tabela_kier[[#This Row],[sem5.godziny]]&gt;=$H$194,Tabela_kier[[#This Row],[sem5.forma]]="z"),2,AND(Tabela_kier[[#This Row],[sem5.godziny]]&lt;$H$194,Tabela_kier[[#This Row],[sem5.forma]]="z"),1,TRUE,""),"")</f>
        <v/>
      </c>
      <c r="X76" s="673"/>
      <c r="Y76" s="674"/>
      <c r="Z76" s="446" t="str" cm="1">
        <f t="array" ref="Z76">IF(Tabela_kier[[#This Row],[czy.ects]]="TAK",_xlfn.IFS(AND(Tabela_kier[[#This Row],[sem6.godziny]]&gt;=$Q$194,Tabela_kier[[#This Row],[sem6.forma]]="z"),8,AND(Tabela_kier[[#This Row],[sem6.godziny]]&gt;=$I$194,Tabela_kier[[#This Row],[sem6.forma]]="z"),4,AND(Tabela_kier[[#This Row],[sem6.godziny]]&gt;=$H$194,Tabela_kier[[#This Row],[sem6.forma]]="e"),2,AND(Tabela_kier[[#This Row],[sem6.godziny]]&lt;$H$194,Tabela_kier[[#This Row],[sem6.forma]]="e"),1,AND(Tabela_kier[[#This Row],[sem6.godziny]]&gt;=$H$194,Tabela_kier[[#This Row],[sem6.forma]]="z"),2,AND(Tabela_kier[[#This Row],[sem6.godziny]]&lt;$H$194,Tabela_kier[[#This Row],[sem6.forma]]="z"),1,TRUE,""),"")</f>
        <v/>
      </c>
      <c r="AA76" s="674"/>
      <c r="AB76" s="380"/>
      <c r="AC76" s="381" t="str" cm="1">
        <f t="array" ref="AC76">IF(Tabela_kier[[#This Row],[czy.ects]]="TAK",_xlfn.IFS(AND(Tabela_kier[[#This Row],[sem7.godziny]]&gt;=$Q$194,Tabela_kier[[#This Row],[sem7.forma]]="z"),8,AND(Tabela_kier[[#This Row],[sem7.godziny]]&gt;=$I$194,Tabela_kier[[#This Row],[sem7.forma]]="z"),4,AND(Tabela_kier[[#This Row],[sem7.godziny]]&gt;=$H$194,Tabela_kier[[#This Row],[sem7.forma]]="e"),2,AND(Tabela_kier[[#This Row],[sem7.godziny]]&lt;$H$194,Tabela_kier[[#This Row],[sem7.forma]]="e"),1,AND(Tabela_kier[[#This Row],[sem7.godziny]]&gt;=$H$194,Tabela_kier[[#This Row],[sem7.forma]]="z"),2,AND(Tabela_kier[[#This Row],[sem7.godziny]]&lt;$H$194,Tabela_kier[[#This Row],[sem7.forma]]="z"),1,TRUE,""),"")</f>
        <v/>
      </c>
      <c r="AD76" s="380"/>
      <c r="AE76" s="382"/>
      <c r="AF76" s="383" t="str" cm="1">
        <f t="array" ref="AF76">IF(Tabela_kier[[#This Row],[czy.ects]]="TAK",_xlfn.IFS(AND(Tabela_kier[[#This Row],[sem8.godziny]]&gt;=$Q$194,Tabela_kier[[#This Row],[sem8.forma]]="z"),8,AND(Tabela_kier[[#This Row],[sem8.godziny]]&gt;=$I$194,Tabela_kier[[#This Row],[sem8.forma]]="z"),4,AND(Tabela_kier[[#This Row],[sem8.godziny]]&gt;=$H$194,Tabela_kier[[#This Row],[sem8.forma]]="e"),2,AND(Tabela_kier[[#This Row],[sem8.godziny]]&lt;$H$194,Tabela_kier[[#This Row],[sem8.forma]]="e"),1,AND(Tabela_kier[[#This Row],[sem8.godziny]]&gt;=$H$194,Tabela_kier[[#This Row],[sem8.forma]]="z"),2,AND(Tabela_kier[[#This Row],[sem8.godziny]]&lt;$H$194,Tabela_kier[[#This Row],[sem8.forma]]="z"),1,TRUE,""),"")</f>
        <v/>
      </c>
      <c r="AG76" s="382"/>
      <c r="AH76" s="384"/>
      <c r="AI76" s="385" t="str" cm="1">
        <f t="array" ref="AI76">IF(Tabela_kier[[#This Row],[czy.ects]]="TAK",_xlfn.IFS(AND(Tabela_kier[[#This Row],[sem9.godziny]]&gt;=$Q$194,Tabela_kier[[#This Row],[sem9.forma]]="z"),8,AND(Tabela_kier[[#This Row],[sem9.godziny]]&gt;=$I$194,Tabela_kier[[#This Row],[sem9.forma]]="z"),4,AND(Tabela_kier[[#This Row],[sem9.godziny]]&gt;=$H$194,Tabela_kier[[#This Row],[sem9.forma]]="e"),2,AND(Tabela_kier[[#This Row],[sem9.godziny]]&lt;$H$194,Tabela_kier[[#This Row],[sem9.forma]]="e"),1,AND(Tabela_kier[[#This Row],[sem9.godziny]]&gt;=$H$194,Tabela_kier[[#This Row],[sem9.forma]]="z"),2,AND(Tabela_kier[[#This Row],[sem9.godziny]]&lt;$H$194,Tabela_kier[[#This Row],[sem9.forma]]="z"),1,TRUE,""),"")</f>
        <v/>
      </c>
      <c r="AJ76" s="384"/>
      <c r="AK76" s="386"/>
      <c r="AL76" s="387" t="str" cm="1">
        <f t="array" ref="AL76">IF(Tabela_kier[[#This Row],[czy.ects]]="TAK",_xlfn.IFS(AND(Tabela_kier[[#This Row],[sem10.godziny]]&gt;=$Q$194,Tabela_kier[[#This Row],[sem10.forma]]="z"),8,AND(Tabela_kier[[#This Row],[sem10.godziny]]&gt;=$I$194,Tabela_kier[[#This Row],[sem10.forma]]="z"),4,AND(Tabela_kier[[#This Row],[sem10.godziny]]&gt;=$H$194,Tabela_kier[[#This Row],[sem10.forma]]="e"),2,AND(Tabela_kier[[#This Row],[sem10.godziny]]&lt;$H$194,Tabela_kier[[#This Row],[sem10.forma]]="e"),1,AND(Tabela_kier[[#This Row],[sem10.godziny]]&gt;=$H$194,Tabela_kier[[#This Row],[sem10.forma]]="z"),2,AND(Tabela_kier[[#This Row],[sem10.godziny]]&lt;$H$194,Tabela_kier[[#This Row],[sem10.forma]]="z"),1,TRUE,""),"")</f>
        <v/>
      </c>
      <c r="AM76" s="386"/>
      <c r="AN76" s="388">
        <f>SUM(Tabela_kier[[#This Row],[sem1.ects]],Tabela_kier[[#This Row],[sem2.ects]],Tabela_kier[[#This Row],[sem3.ects]],Tabela_kier[[#This Row],[sem4.ects]],Tabela_kier[[#This Row],[sem5.ects]],Tabela_kier[[#This Row],[sem6.ects]],Tabela_kier[[#This Row],[sem7.ects]],Tabela_kier[[#This Row],[sem8.ects]],Tabela_kier[[#This Row],[sem9.ects]],Tabela_kier[[#This Row],[sem10.ects]])</f>
        <v>16</v>
      </c>
      <c r="AO76" s="389">
        <f>IF(ISERR(SEARCH("UP",Tabela_kier[[#This Row],[Umiej.prakt.]],1)),0,Tabela_kier[[#This Row],[ects.razem]])</f>
        <v>16</v>
      </c>
      <c r="AP76" s="390">
        <f>IF(Tabela_kier[[#This Row],[czy.ects]]="TAK",ROUND((SUM(Tabela_kier[[#This Row],[godziny.konsultacja]],Tabela_kier[[#This Row],[godziny.egzamin]],Tabela_kier[[#This Row],[godziny.zajec.razem]])/25)/0.5,0)*0.5,0)</f>
        <v>18</v>
      </c>
      <c r="AQ76" s="391">
        <f>SUM(Tabela_kier[[#This Row],[godziny.samoksztalcenie]],Tabela_kier[[#This Row],[godziny.konsultacja]],Tabela_kier[[#This Row],[godziny.egzamin]],Tabela_kier[[#This Row],[godziny.zajec.razem]])</f>
        <v>666</v>
      </c>
      <c r="AR76" s="392">
        <f>INT(SUM(Tabela_kier[[#This Row],[godziny.konsultacja]],Tabela_kier[[#This Row],[godziny.egzamin]],Tabela_kier[[#This Row],[godziny.zajec.razem]])*0.5+Tabela_kier[[#This Row],[godziny.zajec.razem]]*(15-$G$194)/9)</f>
        <v>222</v>
      </c>
      <c r="AS76" s="393">
        <f>INT(Tabela_kier[[#This Row],[godziny.zajec.razem]]*0.1)</f>
        <v>40</v>
      </c>
      <c r="AT76" s="394">
        <f>IF(Tabela_kier[[#This Row],[godziny.zajec.razem]]&gt;0,IF(Tabela_kier[[#This Row],[godziny.zajec.razem]]&gt;=45,4,2),0)</f>
        <v>4</v>
      </c>
      <c r="AU76" s="395">
        <f>SUM(Tabela_kier[[#This Row],[sem1.godziny]],Tabela_kier[[#This Row],[sem2.godziny]],Tabela_kier[[#This Row],[sem3.godziny]],Tabela_kier[[#This Row],[sem4.godziny]],Tabela_kier[[#This Row],[sem5.godziny]],Tabela_kier[[#This Row],[sem6.godziny]],Tabela_kier[[#This Row],[sem7.godziny]],Tabela_kier[[#This Row],[sem8.godziny]],Tabela_kier[[#This Row],[sem9.godziny]],Tabela_kier[[#This Row],[sem10.godziny]])</f>
        <v>400</v>
      </c>
      <c r="AV76" s="396">
        <f>IF(Tabela_kier[[#This Row],[ects.bezposr.nauczyciel]],Tabela_kier[[#This Row],[ects.bezposr.nauczyciel]]/Tabela_kier[[#This Row],[ects.razem]],0)</f>
        <v>1.125</v>
      </c>
      <c r="AW76" s="49"/>
    </row>
    <row r="77" spans="1:49" ht="7.5" customHeight="1" thickBot="1" x14ac:dyDescent="0.35">
      <c r="A77" s="207"/>
      <c r="B77" s="585"/>
      <c r="C77" s="586"/>
      <c r="D77" s="587"/>
      <c r="E77" s="587"/>
      <c r="F77" s="588"/>
      <c r="G77" s="589"/>
      <c r="H77" s="590"/>
      <c r="I77" s="587"/>
      <c r="J77" s="591"/>
      <c r="K77" s="591"/>
      <c r="L77" s="592"/>
      <c r="M77" s="593"/>
      <c r="N77" s="594"/>
      <c r="O77" s="594"/>
      <c r="P77" s="594"/>
      <c r="Q77" s="595"/>
      <c r="R77" s="594"/>
      <c r="S77" s="594"/>
      <c r="T77" s="594"/>
      <c r="U77" s="594"/>
      <c r="V77" s="594"/>
      <c r="W77" s="594"/>
      <c r="X77" s="594"/>
      <c r="Y77" s="594"/>
      <c r="Z77" s="594"/>
      <c r="AA77" s="594"/>
      <c r="AB77" s="594"/>
      <c r="AC77" s="594"/>
      <c r="AD77" s="594"/>
      <c r="AE77" s="592"/>
      <c r="AF77" s="592"/>
      <c r="AG77" s="592"/>
      <c r="AH77" s="594"/>
      <c r="AI77" s="592"/>
      <c r="AJ77" s="592"/>
      <c r="AK77" s="592"/>
      <c r="AL77" s="592"/>
      <c r="AM77" s="596"/>
      <c r="AN77" s="597"/>
      <c r="AO77" s="598"/>
      <c r="AP77" s="598"/>
      <c r="AQ77" s="598"/>
      <c r="AR77" s="598"/>
      <c r="AS77" s="598"/>
      <c r="AT77" s="598"/>
      <c r="AU77" s="598"/>
      <c r="AV77" s="598"/>
      <c r="AW77" s="207"/>
    </row>
    <row r="78" spans="1:49" ht="16.5" hidden="1" customHeight="1" thickBot="1" x14ac:dyDescent="0.35">
      <c r="A78" s="207"/>
      <c r="B78" s="762" t="s">
        <v>424</v>
      </c>
      <c r="C78" s="771"/>
      <c r="D78" s="771"/>
      <c r="E78" s="771"/>
      <c r="F78" s="771"/>
      <c r="G78" s="771"/>
      <c r="H78" s="771"/>
      <c r="I78" s="771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  <c r="AG78" s="523"/>
      <c r="AH78" s="523"/>
      <c r="AI78" s="523"/>
      <c r="AJ78" s="523"/>
      <c r="AK78" s="523"/>
      <c r="AL78" s="523"/>
      <c r="AM78" s="523"/>
      <c r="AN78" s="523"/>
      <c r="AO78" s="523"/>
      <c r="AP78" s="523"/>
      <c r="AQ78" s="523"/>
      <c r="AR78" s="523"/>
      <c r="AS78" s="523"/>
      <c r="AT78" s="523"/>
      <c r="AU78" s="523"/>
      <c r="AV78" s="524"/>
      <c r="AW78" s="207"/>
    </row>
    <row r="79" spans="1:49" ht="25.5" hidden="1" customHeight="1" thickBot="1" x14ac:dyDescent="0.35">
      <c r="A79" s="207"/>
      <c r="B79" s="766" t="s">
        <v>431</v>
      </c>
      <c r="C79" s="767"/>
      <c r="D79" s="767"/>
      <c r="E79" s="767"/>
      <c r="F79" s="767"/>
      <c r="G79" s="767"/>
      <c r="H79" s="767"/>
      <c r="I79" s="767"/>
      <c r="J79" s="464">
        <f>SUM(Tabela_do_wyboru[sem1.godziny])</f>
        <v>0</v>
      </c>
      <c r="K79" s="464">
        <f>SUM(Tabela_do_wyboru[sem1.ects])</f>
        <v>0</v>
      </c>
      <c r="L79" s="464"/>
      <c r="M79" s="464">
        <f>SUM(Tabela_do_wyboru[sem2.godziny])</f>
        <v>0</v>
      </c>
      <c r="N79" s="464">
        <f>SUM(Tabela_do_wyboru[sem2.ects])</f>
        <v>0</v>
      </c>
      <c r="O79" s="464"/>
      <c r="P79" s="464">
        <f>SUM(Tabela_do_wyboru[sem3.godziny])</f>
        <v>0</v>
      </c>
      <c r="Q79" s="464">
        <f>SUM(Tabela_do_wyboru[sem3.ects])</f>
        <v>0</v>
      </c>
      <c r="R79" s="464"/>
      <c r="S79" s="464">
        <f>SUM(Tabela_do_wyboru[sem4.godziny])</f>
        <v>0</v>
      </c>
      <c r="T79" s="464">
        <f>SUM(Tabela_do_wyboru[sem4.ects])</f>
        <v>0</v>
      </c>
      <c r="U79" s="464"/>
      <c r="V79" s="464">
        <f>SUM(Tabela_do_wyboru[sem5.godziny])</f>
        <v>0</v>
      </c>
      <c r="W79" s="464">
        <f>SUM(Tabela_do_wyboru[sem5.ects])</f>
        <v>0</v>
      </c>
      <c r="X79" s="464"/>
      <c r="Y79" s="464">
        <f>SUM(Tabela_do_wyboru[sem6.godziny])</f>
        <v>0</v>
      </c>
      <c r="Z79" s="464">
        <f>SUM(Tabela_do_wyboru[sem6.ects])</f>
        <v>0</v>
      </c>
      <c r="AA79" s="464"/>
      <c r="AB79" s="464">
        <f>SUM(Tabela_do_wyboru[sem7.godziny])</f>
        <v>0</v>
      </c>
      <c r="AC79" s="464">
        <f>SUM(Tabela_do_wyboru[sem7.ects])</f>
        <v>0</v>
      </c>
      <c r="AD79" s="464"/>
      <c r="AE79" s="464">
        <f>SUM(Tabela_do_wyboru[sem8.godziny])</f>
        <v>0</v>
      </c>
      <c r="AF79" s="464">
        <f>SUM(Tabela_do_wyboru[sem8.ects])</f>
        <v>0</v>
      </c>
      <c r="AG79" s="464"/>
      <c r="AH79" s="464">
        <f>SUM(Tabela_do_wyboru[sem9.godziny])</f>
        <v>0</v>
      </c>
      <c r="AI79" s="464">
        <f>SUM(Tabela_do_wyboru[sem9.ects])</f>
        <v>0</v>
      </c>
      <c r="AJ79" s="464"/>
      <c r="AK79" s="464">
        <f>SUM(Tabela_do_wyboru[sem10.godziny])</f>
        <v>0</v>
      </c>
      <c r="AL79" s="464">
        <f>SUM(Tabela_do_wyboru[sem10.ects])</f>
        <v>0</v>
      </c>
      <c r="AM79" s="464"/>
      <c r="AN79" s="464">
        <f>SUM(Tabela_do_wyboru[ects.razem])</f>
        <v>0</v>
      </c>
      <c r="AO79" s="464">
        <f>SUM(Tabela_do_wyboru[ects.umiej.prakt.])</f>
        <v>0</v>
      </c>
      <c r="AP79" s="464">
        <f>SUM(Tabela_do_wyboru[ects.bezposr.nauczyciel])</f>
        <v>0</v>
      </c>
      <c r="AQ79" s="464">
        <f>SUM(Tabela_do_wyboru[godziny.razem.student])</f>
        <v>0</v>
      </c>
      <c r="AR79" s="464">
        <f>SUM(Tabela_do_wyboru[godziny.samoksztalcenie])</f>
        <v>0</v>
      </c>
      <c r="AS79" s="464">
        <f>SUM(Tabela_do_wyboru[godziny.konsultacja])</f>
        <v>0</v>
      </c>
      <c r="AT79" s="464">
        <f>SUM(Tabela_do_wyboru[godziny.egzamin])</f>
        <v>0</v>
      </c>
      <c r="AU79" s="464">
        <f>SUM(Tabela_do_wyboru[godziny.zajec.razem])</f>
        <v>0</v>
      </c>
      <c r="AV79" s="465"/>
      <c r="AW79" s="207"/>
    </row>
    <row r="80" spans="1:49" ht="25.5" hidden="1" customHeight="1" x14ac:dyDescent="0.3">
      <c r="A80" s="207"/>
      <c r="B80" s="466" t="s">
        <v>374</v>
      </c>
      <c r="C80" s="467" t="s">
        <v>373</v>
      </c>
      <c r="D80" s="467" t="s">
        <v>372</v>
      </c>
      <c r="E80" s="467" t="s">
        <v>371</v>
      </c>
      <c r="F80" s="468" t="s">
        <v>368</v>
      </c>
      <c r="G80" s="469" t="s">
        <v>369</v>
      </c>
      <c r="H80" s="470" t="s">
        <v>370</v>
      </c>
      <c r="I80" s="471" t="s">
        <v>375</v>
      </c>
      <c r="J80" s="472" t="s">
        <v>376</v>
      </c>
      <c r="K80" s="473" t="s">
        <v>377</v>
      </c>
      <c r="L80" s="472" t="s">
        <v>378</v>
      </c>
      <c r="M80" s="474" t="s">
        <v>379</v>
      </c>
      <c r="N80" s="475" t="s">
        <v>380</v>
      </c>
      <c r="O80" s="474" t="s">
        <v>381</v>
      </c>
      <c r="P80" s="476" t="s">
        <v>382</v>
      </c>
      <c r="Q80" s="477" t="s">
        <v>383</v>
      </c>
      <c r="R80" s="476" t="s">
        <v>384</v>
      </c>
      <c r="S80" s="478" t="s">
        <v>385</v>
      </c>
      <c r="T80" s="479" t="s">
        <v>386</v>
      </c>
      <c r="U80" s="478" t="s">
        <v>387</v>
      </c>
      <c r="V80" s="480" t="s">
        <v>388</v>
      </c>
      <c r="W80" s="481" t="s">
        <v>389</v>
      </c>
      <c r="X80" s="480" t="s">
        <v>390</v>
      </c>
      <c r="Y80" s="482" t="s">
        <v>391</v>
      </c>
      <c r="Z80" s="483" t="s">
        <v>392</v>
      </c>
      <c r="AA80" s="482" t="s">
        <v>393</v>
      </c>
      <c r="AB80" s="484" t="s">
        <v>394</v>
      </c>
      <c r="AC80" s="485" t="s">
        <v>395</v>
      </c>
      <c r="AD80" s="484" t="s">
        <v>396</v>
      </c>
      <c r="AE80" s="423" t="s">
        <v>409</v>
      </c>
      <c r="AF80" s="423" t="s">
        <v>410</v>
      </c>
      <c r="AG80" s="423" t="s">
        <v>411</v>
      </c>
      <c r="AH80" s="425" t="s">
        <v>412</v>
      </c>
      <c r="AI80" s="425" t="s">
        <v>413</v>
      </c>
      <c r="AJ80" s="425" t="s">
        <v>414</v>
      </c>
      <c r="AK80" s="427" t="s">
        <v>415</v>
      </c>
      <c r="AL80" s="427" t="s">
        <v>416</v>
      </c>
      <c r="AM80" s="427" t="s">
        <v>417</v>
      </c>
      <c r="AN80" s="486" t="s">
        <v>397</v>
      </c>
      <c r="AO80" s="487" t="s">
        <v>398</v>
      </c>
      <c r="AP80" s="488" t="s">
        <v>399</v>
      </c>
      <c r="AQ80" s="489" t="s">
        <v>400</v>
      </c>
      <c r="AR80" s="490" t="s">
        <v>401</v>
      </c>
      <c r="AS80" s="491" t="s">
        <v>402</v>
      </c>
      <c r="AT80" s="473" t="s">
        <v>403</v>
      </c>
      <c r="AU80" s="492" t="s">
        <v>404</v>
      </c>
      <c r="AV80" s="493" t="s">
        <v>405</v>
      </c>
      <c r="AW80" s="207"/>
    </row>
    <row r="81" spans="1:49" hidden="1" x14ac:dyDescent="0.3">
      <c r="A81" s="207"/>
      <c r="B81" s="402"/>
      <c r="C81" s="403"/>
      <c r="D81" s="403"/>
      <c r="E81" s="362"/>
      <c r="F81" s="404"/>
      <c r="G81" s="405"/>
      <c r="H81" s="406"/>
      <c r="I81" s="407"/>
      <c r="J81" s="408"/>
      <c r="K81" s="409"/>
      <c r="L81" s="408"/>
      <c r="M81" s="410"/>
      <c r="N81" s="411"/>
      <c r="O81" s="410"/>
      <c r="P81" s="412"/>
      <c r="Q81" s="413"/>
      <c r="R81" s="412"/>
      <c r="S81" s="414"/>
      <c r="T81" s="415"/>
      <c r="U81" s="414"/>
      <c r="V81" s="416"/>
      <c r="W81" s="417"/>
      <c r="X81" s="416"/>
      <c r="Y81" s="418"/>
      <c r="Z81" s="419"/>
      <c r="AA81" s="418"/>
      <c r="AB81" s="420"/>
      <c r="AC81" s="421" t="str" cm="1">
        <f t="array" ref="AC81">IF(Tabela_do_wyboru[[#This Row],[czy.ects]]="TAK",_xlfn.IFS(AND(Tabela_do_wyboru[[#This Row],[sem7.godziny]]&gt;=$Q$191,Tabela_do_wyboru[[#This Row],[sem7.forma]]="z"),8,AND(Tabela_do_wyboru[[#This Row],[sem7.godziny]]&gt;=$I$191,Tabela_do_wyboru[[#This Row],[sem7.forma]]="z"),4,AND(Tabela_do_wyboru[[#This Row],[sem7.godziny]]&gt;=$H$191,Tabela_do_wyboru[[#This Row],[sem7.forma]]="e"),2,AND(Tabela_do_wyboru[[#This Row],[sem7.godziny]]&lt;$H$191,Tabela_do_wyboru[[#This Row],[sem7.forma]]="e"),1,AND(Tabela_do_wyboru[[#This Row],[sem7.godziny]]&gt;=$H$191,Tabela_do_wyboru[[#This Row],[sem7.forma]]="z"),2,AND(Tabela_do_wyboru[[#This Row],[sem7.godziny]]&lt;$H$191,Tabela_do_wyboru[[#This Row],[sem7.forma]]="z"),1,TRUE,""),"")</f>
        <v/>
      </c>
      <c r="AD81" s="420"/>
      <c r="AE81" s="422"/>
      <c r="AF81" s="423" t="str" cm="1">
        <f t="array" ref="AF81">IF(Tabela_do_wyboru[[#This Row],[czy.ects]]="TAK",_xlfn.IFS(AND(Tabela_do_wyboru[[#This Row],[sem8.godziny]]&gt;=$Q$191,Tabela_do_wyboru[[#This Row],[sem8.forma]]="z"),8,AND(Tabela_do_wyboru[[#This Row],[sem8.godziny]]&gt;=$I$191,Tabela_do_wyboru[[#This Row],[sem8.forma]]="z"),4,AND(Tabela_do_wyboru[[#This Row],[sem8.godziny]]&gt;=$H$191,Tabela_do_wyboru[[#This Row],[sem8.forma]]="e"),2,AND(Tabela_do_wyboru[[#This Row],[sem8.godziny]]&lt;$H$191,Tabela_do_wyboru[[#This Row],[sem8.forma]]="e"),1,AND(Tabela_do_wyboru[[#This Row],[sem8.godziny]]&gt;=$H$191,Tabela_do_wyboru[[#This Row],[sem8.forma]]="z"),2,AND(Tabela_do_wyboru[[#This Row],[sem8.godziny]]&lt;$H$191,Tabela_do_wyboru[[#This Row],[sem8.forma]]="z"),1,TRUE,""),"")</f>
        <v/>
      </c>
      <c r="AG81" s="422"/>
      <c r="AH81" s="424"/>
      <c r="AI81" s="425" t="str" cm="1">
        <f t="array" ref="AI81">IF(Tabela_do_wyboru[[#This Row],[czy.ects]]="TAK",_xlfn.IFS(AND(Tabela_do_wyboru[[#This Row],[sem9.godziny]]&gt;=$Q$191,Tabela_do_wyboru[[#This Row],[sem9.forma]]="z"),8,AND(Tabela_do_wyboru[[#This Row],[sem9.godziny]]&gt;=$I$191,Tabela_do_wyboru[[#This Row],[sem9.forma]]="z"),4,AND(Tabela_do_wyboru[[#This Row],[sem9.godziny]]&gt;=$H$191,Tabela_do_wyboru[[#This Row],[sem9.forma]]="e"),2,AND(Tabela_do_wyboru[[#This Row],[sem9.godziny]]&lt;$H$191,Tabela_do_wyboru[[#This Row],[sem9.forma]]="e"),1,AND(Tabela_do_wyboru[[#This Row],[sem9.godziny]]&gt;=$H$191,Tabela_do_wyboru[[#This Row],[sem9.forma]]="z"),2,AND(Tabela_do_wyboru[[#This Row],[sem9.godziny]]&lt;$H$191,Tabela_do_wyboru[[#This Row],[sem9.forma]]="z"),1,TRUE,""),"")</f>
        <v/>
      </c>
      <c r="AJ81" s="424"/>
      <c r="AK81" s="426"/>
      <c r="AL81" s="427" t="str" cm="1">
        <f t="array" ref="AL81">IF(Tabela_do_wyboru[[#This Row],[czy.ects]]="TAK",_xlfn.IFS(AND(Tabela_do_wyboru[[#This Row],[sem10.godziny]]&gt;=$Q$191,Tabela_do_wyboru[[#This Row],[sem10.forma]]="z"),8,AND(Tabela_do_wyboru[[#This Row],[sem10.godziny]]&gt;=$I$191,Tabela_do_wyboru[[#This Row],[sem10.forma]]="z"),4,AND(Tabela_do_wyboru[[#This Row],[sem10.godziny]]&gt;=$H$191,Tabela_do_wyboru[[#This Row],[sem10.forma]]="e"),2,AND(Tabela_do_wyboru[[#This Row],[sem10.godziny]]&lt;$H$191,Tabela_do_wyboru[[#This Row],[sem10.forma]]="e"),1,AND(Tabela_do_wyboru[[#This Row],[sem10.godziny]]&gt;=$H$191,Tabela_do_wyboru[[#This Row],[sem10.forma]]="z"),2,AND(Tabela_do_wyboru[[#This Row],[sem10.godziny]]&lt;$H$191,Tabela_do_wyboru[[#This Row],[sem10.forma]]="z"),1,TRUE,""),"")</f>
        <v/>
      </c>
      <c r="AM81" s="426"/>
      <c r="AN81" s="428">
        <f>SUM(Tabela_do_wyboru[[#This Row],[sem1.ects]],Tabela_do_wyboru[[#This Row],[sem2.ects]],Tabela_do_wyboru[[#This Row],[sem3.ects]],Tabela_do_wyboru[[#This Row],[sem4.ects]],Tabela_do_wyboru[[#This Row],[sem5.ects]],Tabela_do_wyboru[[#This Row],[sem6.ects]],Tabela_do_wyboru[[#This Row],[sem7.ects]],Tabela_do_wyboru[[#This Row],[sem8.ects]],Tabela_do_wyboru[[#This Row],[sem9.ects]],Tabela_do_wyboru[[#This Row],[sem10.ects]])</f>
        <v>0</v>
      </c>
      <c r="AO81" s="429">
        <f>IF(ISERR(SEARCH("UP",Tabela_do_wyboru[[#This Row],[Umiej.prakt.]],1)),0,Tabela_do_wyboru[[#This Row],[ects.razem]])</f>
        <v>0</v>
      </c>
      <c r="AP81" s="430">
        <f>IF(Tabela_do_wyboru[[#This Row],[czy.ects]]="TAK",ROUND((SUM(Tabela_do_wyboru[[#This Row],[godziny.konsultacja]],Tabela_do_wyboru[[#This Row],[godziny.egzamin]],Tabela_do_wyboru[[#This Row],[godziny.zajec.razem]])/25)/0.5,0)*0.5,0)</f>
        <v>0</v>
      </c>
      <c r="AQ81" s="431">
        <f>SUM(Tabela_do_wyboru[[#This Row],[godziny.samoksztalcenie]],Tabela_do_wyboru[[#This Row],[godziny.konsultacja]],Tabela_do_wyboru[[#This Row],[godziny.egzamin]],Tabela_do_wyboru[[#This Row],[godziny.zajec.razem]])</f>
        <v>0</v>
      </c>
      <c r="AR81" s="432">
        <f>INT(SUM(Tabela_do_wyboru[[#This Row],[godziny.konsultacja]],Tabela_do_wyboru[[#This Row],[godziny.egzamin]],Tabela_do_wyboru[[#This Row],[godziny.zajec.razem]])*0.5+Tabela_do_wyboru[[#This Row],[godziny.zajec.razem]]*(15-$G$191)/9)</f>
        <v>0</v>
      </c>
      <c r="AS81" s="433">
        <f>INT(Tabela_do_wyboru[[#This Row],[godziny.zajec.razem]]*0.1)</f>
        <v>0</v>
      </c>
      <c r="AT81" s="409">
        <f>IF(Tabela_do_wyboru[[#This Row],[godziny.zajec.razem]]&gt;0,IF(Tabela_do_wyboru[[#This Row],[godziny.zajec.razem]]&gt;=45,4,2),0)</f>
        <v>0</v>
      </c>
      <c r="AU81" s="434">
        <f>SUM(Tabela_do_wyboru[[#This Row],[sem1.godziny]],Tabela_do_wyboru[[#This Row],[sem2.godziny]],Tabela_do_wyboru[[#This Row],[sem3.godziny]],Tabela_do_wyboru[[#This Row],[sem4.godziny]],Tabela_do_wyboru[[#This Row],[sem5.godziny]],Tabela_do_wyboru[[#This Row],[sem6.godziny]],Tabela_do_wyboru[[#This Row],[sem7.godziny]],Tabela_do_wyboru[[#This Row],[sem8.godziny]],Tabela_do_wyboru[[#This Row],[sem9.godziny]],Tabela_do_wyboru[[#This Row],[sem10.godziny]])</f>
        <v>0</v>
      </c>
      <c r="AV81" s="435">
        <f>IF(Tabela_do_wyboru[[#This Row],[ects.bezposr.nauczyciel]],Tabela_do_wyboru[[#This Row],[ects.bezposr.nauczyciel]]/Tabela_do_wyboru[[#This Row],[ects.razem]],0)</f>
        <v>0</v>
      </c>
      <c r="AW81" s="207"/>
    </row>
    <row r="82" spans="1:49" ht="25.5" hidden="1" customHeight="1" x14ac:dyDescent="0.3">
      <c r="A82" s="207"/>
      <c r="B82" s="402"/>
      <c r="C82" s="403"/>
      <c r="D82" s="403"/>
      <c r="E82" s="362"/>
      <c r="F82" s="404"/>
      <c r="G82" s="405"/>
      <c r="H82" s="406"/>
      <c r="I82" s="407"/>
      <c r="J82" s="408"/>
      <c r="K82" s="409"/>
      <c r="L82" s="408"/>
      <c r="M82" s="410"/>
      <c r="N82" s="411"/>
      <c r="O82" s="410"/>
      <c r="P82" s="412"/>
      <c r="Q82" s="413"/>
      <c r="R82" s="412"/>
      <c r="S82" s="414"/>
      <c r="T82" s="415"/>
      <c r="U82" s="414"/>
      <c r="V82" s="416"/>
      <c r="W82" s="417"/>
      <c r="X82" s="416"/>
      <c r="Y82" s="418"/>
      <c r="Z82" s="419"/>
      <c r="AA82" s="418"/>
      <c r="AB82" s="420"/>
      <c r="AC82" s="421" t="str" cm="1">
        <f t="array" ref="AC82">IF(Tabela_do_wyboru[[#This Row],[czy.ects]]="TAK",_xlfn.IFS(AND(Tabela_do_wyboru[[#This Row],[sem7.godziny]]&gt;=$Q$191,Tabela_do_wyboru[[#This Row],[sem7.forma]]="z"),8,AND(Tabela_do_wyboru[[#This Row],[sem7.godziny]]&gt;=$I$191,Tabela_do_wyboru[[#This Row],[sem7.forma]]="z"),4,AND(Tabela_do_wyboru[[#This Row],[sem7.godziny]]&gt;=$H$191,Tabela_do_wyboru[[#This Row],[sem7.forma]]="e"),2,AND(Tabela_do_wyboru[[#This Row],[sem7.godziny]]&lt;$H$191,Tabela_do_wyboru[[#This Row],[sem7.forma]]="e"),1,AND(Tabela_do_wyboru[[#This Row],[sem7.godziny]]&gt;=$H$191,Tabela_do_wyboru[[#This Row],[sem7.forma]]="z"),2,AND(Tabela_do_wyboru[[#This Row],[sem7.godziny]]&lt;$H$191,Tabela_do_wyboru[[#This Row],[sem7.forma]]="z"),1,TRUE,""),"")</f>
        <v/>
      </c>
      <c r="AD82" s="420"/>
      <c r="AE82" s="422"/>
      <c r="AF82" s="423" t="str" cm="1">
        <f t="array" ref="AF82">IF(Tabela_do_wyboru[[#This Row],[czy.ects]]="TAK",_xlfn.IFS(AND(Tabela_do_wyboru[[#This Row],[sem8.godziny]]&gt;=$Q$191,Tabela_do_wyboru[[#This Row],[sem8.forma]]="z"),8,AND(Tabela_do_wyboru[[#This Row],[sem8.godziny]]&gt;=$I$191,Tabela_do_wyboru[[#This Row],[sem8.forma]]="z"),4,AND(Tabela_do_wyboru[[#This Row],[sem8.godziny]]&gt;=$H$191,Tabela_do_wyboru[[#This Row],[sem8.forma]]="e"),2,AND(Tabela_do_wyboru[[#This Row],[sem8.godziny]]&lt;$H$191,Tabela_do_wyboru[[#This Row],[sem8.forma]]="e"),1,AND(Tabela_do_wyboru[[#This Row],[sem8.godziny]]&gt;=$H$191,Tabela_do_wyboru[[#This Row],[sem8.forma]]="z"),2,AND(Tabela_do_wyboru[[#This Row],[sem8.godziny]]&lt;$H$191,Tabela_do_wyboru[[#This Row],[sem8.forma]]="z"),1,TRUE,""),"")</f>
        <v/>
      </c>
      <c r="AG82" s="422"/>
      <c r="AH82" s="424"/>
      <c r="AI82" s="425" t="str" cm="1">
        <f t="array" ref="AI82">IF(Tabela_do_wyboru[[#This Row],[czy.ects]]="TAK",_xlfn.IFS(AND(Tabela_do_wyboru[[#This Row],[sem9.godziny]]&gt;=$Q$191,Tabela_do_wyboru[[#This Row],[sem9.forma]]="z"),8,AND(Tabela_do_wyboru[[#This Row],[sem9.godziny]]&gt;=$I$191,Tabela_do_wyboru[[#This Row],[sem9.forma]]="z"),4,AND(Tabela_do_wyboru[[#This Row],[sem9.godziny]]&gt;=$H$191,Tabela_do_wyboru[[#This Row],[sem9.forma]]="e"),2,AND(Tabela_do_wyboru[[#This Row],[sem9.godziny]]&lt;$H$191,Tabela_do_wyboru[[#This Row],[sem9.forma]]="e"),1,AND(Tabela_do_wyboru[[#This Row],[sem9.godziny]]&gt;=$H$191,Tabela_do_wyboru[[#This Row],[sem9.forma]]="z"),2,AND(Tabela_do_wyboru[[#This Row],[sem9.godziny]]&lt;$H$191,Tabela_do_wyboru[[#This Row],[sem9.forma]]="z"),1,TRUE,""),"")</f>
        <v/>
      </c>
      <c r="AJ82" s="424"/>
      <c r="AK82" s="426"/>
      <c r="AL82" s="427" t="str" cm="1">
        <f t="array" ref="AL82">IF(Tabela_do_wyboru[[#This Row],[czy.ects]]="TAK",_xlfn.IFS(AND(Tabela_do_wyboru[[#This Row],[sem10.godziny]]&gt;=$Q$191,Tabela_do_wyboru[[#This Row],[sem10.forma]]="z"),8,AND(Tabela_do_wyboru[[#This Row],[sem10.godziny]]&gt;=$I$191,Tabela_do_wyboru[[#This Row],[sem10.forma]]="z"),4,AND(Tabela_do_wyboru[[#This Row],[sem10.godziny]]&gt;=$H$191,Tabela_do_wyboru[[#This Row],[sem10.forma]]="e"),2,AND(Tabela_do_wyboru[[#This Row],[sem10.godziny]]&lt;$H$191,Tabela_do_wyboru[[#This Row],[sem10.forma]]="e"),1,AND(Tabela_do_wyboru[[#This Row],[sem10.godziny]]&gt;=$H$191,Tabela_do_wyboru[[#This Row],[sem10.forma]]="z"),2,AND(Tabela_do_wyboru[[#This Row],[sem10.godziny]]&lt;$H$191,Tabela_do_wyboru[[#This Row],[sem10.forma]]="z"),1,TRUE,""),"")</f>
        <v/>
      </c>
      <c r="AM82" s="426"/>
      <c r="AN82" s="428">
        <f>SUM(Tabela_do_wyboru[[#This Row],[sem1.ects]],Tabela_do_wyboru[[#This Row],[sem2.ects]],Tabela_do_wyboru[[#This Row],[sem3.ects]],Tabela_do_wyboru[[#This Row],[sem4.ects]],Tabela_do_wyboru[[#This Row],[sem5.ects]],Tabela_do_wyboru[[#This Row],[sem6.ects]],Tabela_do_wyboru[[#This Row],[sem7.ects]],Tabela_do_wyboru[[#This Row],[sem8.ects]],Tabela_do_wyboru[[#This Row],[sem9.ects]],Tabela_do_wyboru[[#This Row],[sem10.ects]])</f>
        <v>0</v>
      </c>
      <c r="AO82" s="429">
        <f>IF(ISERR(SEARCH("UP",Tabela_do_wyboru[[#This Row],[Umiej.prakt.]],1)),0,Tabela_do_wyboru[[#This Row],[ects.razem]])</f>
        <v>0</v>
      </c>
      <c r="AP82" s="430">
        <f>IF(Tabela_do_wyboru[[#This Row],[czy.ects]]="TAK",ROUND((SUM(Tabela_do_wyboru[[#This Row],[godziny.konsultacja]],Tabela_do_wyboru[[#This Row],[godziny.egzamin]],Tabela_do_wyboru[[#This Row],[godziny.zajec.razem]])/25)/0.5,0)*0.5,0)</f>
        <v>0</v>
      </c>
      <c r="AQ82" s="431">
        <f>SUM(Tabela_do_wyboru[[#This Row],[godziny.samoksztalcenie]],Tabela_do_wyboru[[#This Row],[godziny.konsultacja]],Tabela_do_wyboru[[#This Row],[godziny.egzamin]],Tabela_do_wyboru[[#This Row],[godziny.zajec.razem]])</f>
        <v>0</v>
      </c>
      <c r="AR82" s="432">
        <f>INT(SUM(Tabela_do_wyboru[[#This Row],[godziny.konsultacja]],Tabela_do_wyboru[[#This Row],[godziny.egzamin]],Tabela_do_wyboru[[#This Row],[godziny.zajec.razem]])*0.5+Tabela_do_wyboru[[#This Row],[godziny.zajec.razem]]*(15-$G$191)/9)</f>
        <v>0</v>
      </c>
      <c r="AS82" s="433">
        <f>INT(Tabela_do_wyboru[[#This Row],[godziny.zajec.razem]]*0.1)</f>
        <v>0</v>
      </c>
      <c r="AT82" s="409">
        <f>IF(Tabela_do_wyboru[[#This Row],[godziny.zajec.razem]]&gt;0,IF(Tabela_do_wyboru[[#This Row],[godziny.zajec.razem]]&gt;=45,4,2),0)</f>
        <v>0</v>
      </c>
      <c r="AU82" s="434">
        <f>SUM(Tabela_do_wyboru[[#This Row],[sem1.godziny]],Tabela_do_wyboru[[#This Row],[sem2.godziny]],Tabela_do_wyboru[[#This Row],[sem3.godziny]],Tabela_do_wyboru[[#This Row],[sem4.godziny]],Tabela_do_wyboru[[#This Row],[sem5.godziny]],Tabela_do_wyboru[[#This Row],[sem6.godziny]],Tabela_do_wyboru[[#This Row],[sem7.godziny]],Tabela_do_wyboru[[#This Row],[sem8.godziny]],Tabela_do_wyboru[[#This Row],[sem9.godziny]],Tabela_do_wyboru[[#This Row],[sem10.godziny]])</f>
        <v>0</v>
      </c>
      <c r="AV82" s="435">
        <f>IF(Tabela_do_wyboru[[#This Row],[ects.bezposr.nauczyciel]],Tabela_do_wyboru[[#This Row],[ects.bezposr.nauczyciel]]/Tabela_do_wyboru[[#This Row],[ects.razem]],0)</f>
        <v>0</v>
      </c>
      <c r="AW82" s="207"/>
    </row>
    <row r="83" spans="1:49" ht="25.5" hidden="1" customHeight="1" x14ac:dyDescent="0.3">
      <c r="A83" s="207"/>
      <c r="B83" s="402"/>
      <c r="C83" s="403"/>
      <c r="D83" s="403"/>
      <c r="E83" s="362"/>
      <c r="F83" s="404"/>
      <c r="G83" s="405"/>
      <c r="H83" s="406"/>
      <c r="I83" s="407"/>
      <c r="J83" s="408"/>
      <c r="K83" s="409"/>
      <c r="L83" s="408"/>
      <c r="M83" s="410"/>
      <c r="N83" s="411"/>
      <c r="O83" s="410"/>
      <c r="P83" s="412"/>
      <c r="Q83" s="413"/>
      <c r="R83" s="412"/>
      <c r="S83" s="414"/>
      <c r="T83" s="415"/>
      <c r="U83" s="414"/>
      <c r="V83" s="416"/>
      <c r="W83" s="417"/>
      <c r="X83" s="416"/>
      <c r="Y83" s="418"/>
      <c r="Z83" s="419"/>
      <c r="AA83" s="418"/>
      <c r="AB83" s="420"/>
      <c r="AC83" s="421" t="str" cm="1">
        <f t="array" ref="AC83">IF(Tabela_do_wyboru[[#This Row],[czy.ects]]="TAK",_xlfn.IFS(AND(Tabela_do_wyboru[[#This Row],[sem7.godziny]]&gt;=$Q$191,Tabela_do_wyboru[[#This Row],[sem7.forma]]="z"),8,AND(Tabela_do_wyboru[[#This Row],[sem7.godziny]]&gt;=$I$191,Tabela_do_wyboru[[#This Row],[sem7.forma]]="z"),4,AND(Tabela_do_wyboru[[#This Row],[sem7.godziny]]&gt;=$H$191,Tabela_do_wyboru[[#This Row],[sem7.forma]]="e"),2,AND(Tabela_do_wyboru[[#This Row],[sem7.godziny]]&lt;$H$191,Tabela_do_wyboru[[#This Row],[sem7.forma]]="e"),1,AND(Tabela_do_wyboru[[#This Row],[sem7.godziny]]&gt;=$H$191,Tabela_do_wyboru[[#This Row],[sem7.forma]]="z"),2,AND(Tabela_do_wyboru[[#This Row],[sem7.godziny]]&lt;$H$191,Tabela_do_wyboru[[#This Row],[sem7.forma]]="z"),1,TRUE,""),"")</f>
        <v/>
      </c>
      <c r="AD83" s="420"/>
      <c r="AE83" s="422"/>
      <c r="AF83" s="423" t="str" cm="1">
        <f t="array" ref="AF83">IF(Tabela_do_wyboru[[#This Row],[czy.ects]]="TAK",_xlfn.IFS(AND(Tabela_do_wyboru[[#This Row],[sem8.godziny]]&gt;=$Q$191,Tabela_do_wyboru[[#This Row],[sem8.forma]]="z"),8,AND(Tabela_do_wyboru[[#This Row],[sem8.godziny]]&gt;=$I$191,Tabela_do_wyboru[[#This Row],[sem8.forma]]="z"),4,AND(Tabela_do_wyboru[[#This Row],[sem8.godziny]]&gt;=$H$191,Tabela_do_wyboru[[#This Row],[sem8.forma]]="e"),2,AND(Tabela_do_wyboru[[#This Row],[sem8.godziny]]&lt;$H$191,Tabela_do_wyboru[[#This Row],[sem8.forma]]="e"),1,AND(Tabela_do_wyboru[[#This Row],[sem8.godziny]]&gt;=$H$191,Tabela_do_wyboru[[#This Row],[sem8.forma]]="z"),2,AND(Tabela_do_wyboru[[#This Row],[sem8.godziny]]&lt;$H$191,Tabela_do_wyboru[[#This Row],[sem8.forma]]="z"),1,TRUE,""),"")</f>
        <v/>
      </c>
      <c r="AG83" s="422"/>
      <c r="AH83" s="424"/>
      <c r="AI83" s="425" t="str" cm="1">
        <f t="array" ref="AI83">IF(Tabela_do_wyboru[[#This Row],[czy.ects]]="TAK",_xlfn.IFS(AND(Tabela_do_wyboru[[#This Row],[sem9.godziny]]&gt;=$Q$191,Tabela_do_wyboru[[#This Row],[sem9.forma]]="z"),8,AND(Tabela_do_wyboru[[#This Row],[sem9.godziny]]&gt;=$I$191,Tabela_do_wyboru[[#This Row],[sem9.forma]]="z"),4,AND(Tabela_do_wyboru[[#This Row],[sem9.godziny]]&gt;=$H$191,Tabela_do_wyboru[[#This Row],[sem9.forma]]="e"),2,AND(Tabela_do_wyboru[[#This Row],[sem9.godziny]]&lt;$H$191,Tabela_do_wyboru[[#This Row],[sem9.forma]]="e"),1,AND(Tabela_do_wyboru[[#This Row],[sem9.godziny]]&gt;=$H$191,Tabela_do_wyboru[[#This Row],[sem9.forma]]="z"),2,AND(Tabela_do_wyboru[[#This Row],[sem9.godziny]]&lt;$H$191,Tabela_do_wyboru[[#This Row],[sem9.forma]]="z"),1,TRUE,""),"")</f>
        <v/>
      </c>
      <c r="AJ83" s="424"/>
      <c r="AK83" s="426"/>
      <c r="AL83" s="427" t="str" cm="1">
        <f t="array" ref="AL83">IF(Tabela_do_wyboru[[#This Row],[czy.ects]]="TAK",_xlfn.IFS(AND(Tabela_do_wyboru[[#This Row],[sem10.godziny]]&gt;=$Q$191,Tabela_do_wyboru[[#This Row],[sem10.forma]]="z"),8,AND(Tabela_do_wyboru[[#This Row],[sem10.godziny]]&gt;=$I$191,Tabela_do_wyboru[[#This Row],[sem10.forma]]="z"),4,AND(Tabela_do_wyboru[[#This Row],[sem10.godziny]]&gt;=$H$191,Tabela_do_wyboru[[#This Row],[sem10.forma]]="e"),2,AND(Tabela_do_wyboru[[#This Row],[sem10.godziny]]&lt;$H$191,Tabela_do_wyboru[[#This Row],[sem10.forma]]="e"),1,AND(Tabela_do_wyboru[[#This Row],[sem10.godziny]]&gt;=$H$191,Tabela_do_wyboru[[#This Row],[sem10.forma]]="z"),2,AND(Tabela_do_wyboru[[#This Row],[sem10.godziny]]&lt;$H$191,Tabela_do_wyboru[[#This Row],[sem10.forma]]="z"),1,TRUE,""),"")</f>
        <v/>
      </c>
      <c r="AM83" s="426"/>
      <c r="AN83" s="428">
        <f>SUM(Tabela_do_wyboru[[#This Row],[sem1.ects]],Tabela_do_wyboru[[#This Row],[sem2.ects]],Tabela_do_wyboru[[#This Row],[sem3.ects]],Tabela_do_wyboru[[#This Row],[sem4.ects]],Tabela_do_wyboru[[#This Row],[sem5.ects]],Tabela_do_wyboru[[#This Row],[sem6.ects]],Tabela_do_wyboru[[#This Row],[sem7.ects]],Tabela_do_wyboru[[#This Row],[sem8.ects]],Tabela_do_wyboru[[#This Row],[sem9.ects]],Tabela_do_wyboru[[#This Row],[sem10.ects]])</f>
        <v>0</v>
      </c>
      <c r="AO83" s="429">
        <f>IF(ISERR(SEARCH("UP",Tabela_do_wyboru[[#This Row],[Umiej.prakt.]],1)),0,Tabela_do_wyboru[[#This Row],[ects.razem]])</f>
        <v>0</v>
      </c>
      <c r="AP83" s="430">
        <f>IF(Tabela_do_wyboru[[#This Row],[czy.ects]]="TAK",ROUND((SUM(Tabela_do_wyboru[[#This Row],[godziny.konsultacja]],Tabela_do_wyboru[[#This Row],[godziny.egzamin]],Tabela_do_wyboru[[#This Row],[godziny.zajec.razem]])/25)/0.5,0)*0.5,0)</f>
        <v>0</v>
      </c>
      <c r="AQ83" s="431">
        <f>SUM(Tabela_do_wyboru[[#This Row],[godziny.samoksztalcenie]],Tabela_do_wyboru[[#This Row],[godziny.konsultacja]],Tabela_do_wyboru[[#This Row],[godziny.egzamin]],Tabela_do_wyboru[[#This Row],[godziny.zajec.razem]])</f>
        <v>0</v>
      </c>
      <c r="AR83" s="432">
        <f>INT(SUM(Tabela_do_wyboru[[#This Row],[godziny.konsultacja]],Tabela_do_wyboru[[#This Row],[godziny.egzamin]],Tabela_do_wyboru[[#This Row],[godziny.zajec.razem]])*0.5+Tabela_do_wyboru[[#This Row],[godziny.zajec.razem]]*(15-$G$191)/9)</f>
        <v>0</v>
      </c>
      <c r="AS83" s="433">
        <f>INT(Tabela_do_wyboru[[#This Row],[godziny.zajec.razem]]*0.1)</f>
        <v>0</v>
      </c>
      <c r="AT83" s="409">
        <f>IF(Tabela_do_wyboru[[#This Row],[godziny.zajec.razem]]&gt;0,IF(Tabela_do_wyboru[[#This Row],[godziny.zajec.razem]]&gt;=45,4,2),0)</f>
        <v>0</v>
      </c>
      <c r="AU83" s="434">
        <f>SUM(Tabela_do_wyboru[[#This Row],[sem1.godziny]],Tabela_do_wyboru[[#This Row],[sem2.godziny]],Tabela_do_wyboru[[#This Row],[sem3.godziny]],Tabela_do_wyboru[[#This Row],[sem4.godziny]],Tabela_do_wyboru[[#This Row],[sem5.godziny]],Tabela_do_wyboru[[#This Row],[sem6.godziny]],Tabela_do_wyboru[[#This Row],[sem7.godziny]],Tabela_do_wyboru[[#This Row],[sem8.godziny]],Tabela_do_wyboru[[#This Row],[sem9.godziny]],Tabela_do_wyboru[[#This Row],[sem10.godziny]])</f>
        <v>0</v>
      </c>
      <c r="AV83" s="435">
        <f>IF(Tabela_do_wyboru[[#This Row],[ects.bezposr.nauczyciel]],Tabela_do_wyboru[[#This Row],[ects.bezposr.nauczyciel]]/Tabela_do_wyboru[[#This Row],[ects.razem]],0)</f>
        <v>0</v>
      </c>
      <c r="AW83" s="207"/>
    </row>
    <row r="84" spans="1:49" hidden="1" x14ac:dyDescent="0.3">
      <c r="A84" s="207"/>
      <c r="B84" s="402"/>
      <c r="C84" s="403"/>
      <c r="D84" s="403"/>
      <c r="E84" s="362"/>
      <c r="F84" s="404"/>
      <c r="G84" s="405"/>
      <c r="H84" s="406"/>
      <c r="I84" s="407"/>
      <c r="J84" s="408"/>
      <c r="K84" s="409"/>
      <c r="L84" s="408"/>
      <c r="M84" s="410"/>
      <c r="N84" s="411"/>
      <c r="O84" s="410"/>
      <c r="P84" s="412"/>
      <c r="Q84" s="413"/>
      <c r="R84" s="412"/>
      <c r="S84" s="414"/>
      <c r="T84" s="415"/>
      <c r="U84" s="414"/>
      <c r="V84" s="416"/>
      <c r="W84" s="417"/>
      <c r="X84" s="416"/>
      <c r="Y84" s="418"/>
      <c r="Z84" s="419"/>
      <c r="AA84" s="418"/>
      <c r="AB84" s="420"/>
      <c r="AC84" s="421" t="str" cm="1">
        <f t="array" ref="AC84">IF(Tabela_do_wyboru[[#This Row],[czy.ects]]="TAK",_xlfn.IFS(AND(Tabela_do_wyboru[[#This Row],[sem7.godziny]]&gt;=$Q$193,Tabela_do_wyboru[[#This Row],[sem7.forma]]="z"),8,AND(Tabela_do_wyboru[[#This Row],[sem7.godziny]]&gt;=$I$193,Tabela_do_wyboru[[#This Row],[sem7.forma]]="z"),4,AND(Tabela_do_wyboru[[#This Row],[sem7.godziny]]&gt;=$H$193,Tabela_do_wyboru[[#This Row],[sem7.forma]]="e"),2,AND(Tabela_do_wyboru[[#This Row],[sem7.godziny]]&lt;$H$193,Tabela_do_wyboru[[#This Row],[sem7.forma]]="e"),1,AND(Tabela_do_wyboru[[#This Row],[sem7.godziny]]&gt;=$H$193,Tabela_do_wyboru[[#This Row],[sem7.forma]]="z"),2,AND(Tabela_do_wyboru[[#This Row],[sem7.godziny]]&lt;$H$193,Tabela_do_wyboru[[#This Row],[sem7.forma]]="z"),1,TRUE,""),"")</f>
        <v/>
      </c>
      <c r="AD84" s="420"/>
      <c r="AE84" s="422"/>
      <c r="AF84" s="423" t="str" cm="1">
        <f t="array" ref="AF84">IF(Tabela_do_wyboru[[#This Row],[czy.ects]]="TAK",_xlfn.IFS(AND(Tabela_do_wyboru[[#This Row],[sem8.godziny]]&gt;=$Q$193,Tabela_do_wyboru[[#This Row],[sem8.forma]]="z"),8,AND(Tabela_do_wyboru[[#This Row],[sem8.godziny]]&gt;=$I$193,Tabela_do_wyboru[[#This Row],[sem8.forma]]="z"),4,AND(Tabela_do_wyboru[[#This Row],[sem8.godziny]]&gt;=$H$193,Tabela_do_wyboru[[#This Row],[sem8.forma]]="e"),2,AND(Tabela_do_wyboru[[#This Row],[sem8.godziny]]&lt;$H$193,Tabela_do_wyboru[[#This Row],[sem8.forma]]="e"),1,AND(Tabela_do_wyboru[[#This Row],[sem8.godziny]]&gt;=$H$193,Tabela_do_wyboru[[#This Row],[sem8.forma]]="z"),2,AND(Tabela_do_wyboru[[#This Row],[sem8.godziny]]&lt;$H$193,Tabela_do_wyboru[[#This Row],[sem8.forma]]="z"),1,TRUE,""),"")</f>
        <v/>
      </c>
      <c r="AG84" s="422"/>
      <c r="AH84" s="424"/>
      <c r="AI84" s="425" t="str" cm="1">
        <f t="array" ref="AI84">IF(Tabela_do_wyboru[[#This Row],[czy.ects]]="TAK",_xlfn.IFS(AND(Tabela_do_wyboru[[#This Row],[sem9.godziny]]&gt;=$Q$193,Tabela_do_wyboru[[#This Row],[sem9.forma]]="z"),8,AND(Tabela_do_wyboru[[#This Row],[sem9.godziny]]&gt;=$I$193,Tabela_do_wyboru[[#This Row],[sem9.forma]]="z"),4,AND(Tabela_do_wyboru[[#This Row],[sem9.godziny]]&gt;=$H$193,Tabela_do_wyboru[[#This Row],[sem9.forma]]="e"),2,AND(Tabela_do_wyboru[[#This Row],[sem9.godziny]]&lt;$H$193,Tabela_do_wyboru[[#This Row],[sem9.forma]]="e"),1,AND(Tabela_do_wyboru[[#This Row],[sem9.godziny]]&gt;=$H$193,Tabela_do_wyboru[[#This Row],[sem9.forma]]="z"),2,AND(Tabela_do_wyboru[[#This Row],[sem9.godziny]]&lt;$H$193,Tabela_do_wyboru[[#This Row],[sem9.forma]]="z"),1,TRUE,""),"")</f>
        <v/>
      </c>
      <c r="AJ84" s="424"/>
      <c r="AK84" s="426"/>
      <c r="AL84" s="427" t="str" cm="1">
        <f t="array" ref="AL84">IF(Tabela_do_wyboru[[#This Row],[czy.ects]]="TAK",_xlfn.IFS(AND(Tabela_do_wyboru[[#This Row],[sem10.godziny]]&gt;=$Q$193,Tabela_do_wyboru[[#This Row],[sem10.forma]]="z"),8,AND(Tabela_do_wyboru[[#This Row],[sem10.godziny]]&gt;=$I$193,Tabela_do_wyboru[[#This Row],[sem10.forma]]="z"),4,AND(Tabela_do_wyboru[[#This Row],[sem10.godziny]]&gt;=$H$193,Tabela_do_wyboru[[#This Row],[sem10.forma]]="e"),2,AND(Tabela_do_wyboru[[#This Row],[sem10.godziny]]&lt;$H$193,Tabela_do_wyboru[[#This Row],[sem10.forma]]="e"),1,AND(Tabela_do_wyboru[[#This Row],[sem10.godziny]]&gt;=$H$193,Tabela_do_wyboru[[#This Row],[sem10.forma]]="z"),2,AND(Tabela_do_wyboru[[#This Row],[sem10.godziny]]&lt;$H$193,Tabela_do_wyboru[[#This Row],[sem10.forma]]="z"),1,TRUE,""),"")</f>
        <v/>
      </c>
      <c r="AM84" s="426"/>
      <c r="AN84" s="428">
        <f>SUM(Tabela_do_wyboru[[#This Row],[sem1.ects]],Tabela_do_wyboru[[#This Row],[sem2.ects]],Tabela_do_wyboru[[#This Row],[sem3.ects]],Tabela_do_wyboru[[#This Row],[sem4.ects]],Tabela_do_wyboru[[#This Row],[sem5.ects]],Tabela_do_wyboru[[#This Row],[sem6.ects]],Tabela_do_wyboru[[#This Row],[sem7.ects]],Tabela_do_wyboru[[#This Row],[sem8.ects]],Tabela_do_wyboru[[#This Row],[sem9.ects]],Tabela_do_wyboru[[#This Row],[sem10.ects]])</f>
        <v>0</v>
      </c>
      <c r="AO84" s="429">
        <f>IF(ISERR(SEARCH("UP",Tabela_do_wyboru[[#This Row],[Umiej.prakt.]],1)),0,Tabela_do_wyboru[[#This Row],[ects.razem]])</f>
        <v>0</v>
      </c>
      <c r="AP84" s="430">
        <f>IF(Tabela_do_wyboru[[#This Row],[czy.ects]]="TAK",ROUND((SUM(Tabela_do_wyboru[[#This Row],[godziny.konsultacja]],Tabela_do_wyboru[[#This Row],[godziny.egzamin]],Tabela_do_wyboru[[#This Row],[godziny.zajec.razem]])/25)/0.5,0)*0.5,0)</f>
        <v>0</v>
      </c>
      <c r="AQ84" s="431">
        <f>SUM(Tabela_do_wyboru[[#This Row],[godziny.samoksztalcenie]],Tabela_do_wyboru[[#This Row],[godziny.konsultacja]],Tabela_do_wyboru[[#This Row],[godziny.egzamin]],Tabela_do_wyboru[[#This Row],[godziny.zajec.razem]])</f>
        <v>0</v>
      </c>
      <c r="AR84" s="432">
        <f>INT(SUM(Tabela_do_wyboru[[#This Row],[godziny.konsultacja]],Tabela_do_wyboru[[#This Row],[godziny.egzamin]],Tabela_do_wyboru[[#This Row],[godziny.zajec.razem]])*0.5+Tabela_do_wyboru[[#This Row],[godziny.zajec.razem]]*(15-$G$191)/9)</f>
        <v>0</v>
      </c>
      <c r="AS84" s="433">
        <f>INT(Tabela_do_wyboru[[#This Row],[godziny.zajec.razem]]*0.1)</f>
        <v>0</v>
      </c>
      <c r="AT84" s="409">
        <f>IF(Tabela_do_wyboru[[#This Row],[godziny.zajec.razem]]&gt;0,IF(Tabela_do_wyboru[[#This Row],[godziny.zajec.razem]]&gt;=45,4,2),0)</f>
        <v>0</v>
      </c>
      <c r="AU84" s="434">
        <f>SUM(Tabela_do_wyboru[[#This Row],[sem1.godziny]],Tabela_do_wyboru[[#This Row],[sem2.godziny]],Tabela_do_wyboru[[#This Row],[sem3.godziny]],Tabela_do_wyboru[[#This Row],[sem4.godziny]],Tabela_do_wyboru[[#This Row],[sem5.godziny]],Tabela_do_wyboru[[#This Row],[sem6.godziny]],Tabela_do_wyboru[[#This Row],[sem7.godziny]],Tabela_do_wyboru[[#This Row],[sem8.godziny]],Tabela_do_wyboru[[#This Row],[sem9.godziny]],Tabela_do_wyboru[[#This Row],[sem10.godziny]])</f>
        <v>0</v>
      </c>
      <c r="AV84" s="435">
        <f>IF(Tabela_do_wyboru[[#This Row],[ects.bezposr.nauczyciel]],Tabela_do_wyboru[[#This Row],[ects.bezposr.nauczyciel]]/Tabela_do_wyboru[[#This Row],[ects.razem]],0)</f>
        <v>0</v>
      </c>
      <c r="AW84" s="207"/>
    </row>
    <row r="85" spans="1:49" ht="25.5" hidden="1" customHeight="1" x14ac:dyDescent="0.3">
      <c r="A85" s="207"/>
      <c r="B85" s="402"/>
      <c r="C85" s="403"/>
      <c r="D85" s="403"/>
      <c r="E85" s="363"/>
      <c r="F85" s="404"/>
      <c r="G85" s="405"/>
      <c r="H85" s="406"/>
      <c r="I85" s="407"/>
      <c r="J85" s="408"/>
      <c r="K85" s="409"/>
      <c r="L85" s="408"/>
      <c r="M85" s="410"/>
      <c r="N85" s="411"/>
      <c r="O85" s="410"/>
      <c r="P85" s="412"/>
      <c r="Q85" s="413"/>
      <c r="R85" s="412"/>
      <c r="S85" s="414"/>
      <c r="T85" s="415"/>
      <c r="U85" s="414"/>
      <c r="V85" s="416"/>
      <c r="W85" s="417"/>
      <c r="X85" s="416"/>
      <c r="Y85" s="418"/>
      <c r="Z85" s="419"/>
      <c r="AA85" s="418"/>
      <c r="AB85" s="420"/>
      <c r="AC85" s="421" t="str" cm="1">
        <f t="array" ref="AC85">IF(Tabela_do_wyboru[[#This Row],[czy.ects]]="TAK",_xlfn.IFS(AND(Tabela_do_wyboru[[#This Row],[sem7.godziny]]&gt;=$Q$194,Tabela_do_wyboru[[#This Row],[sem7.forma]]="z"),8,AND(Tabela_do_wyboru[[#This Row],[sem7.godziny]]&gt;=$I$194,Tabela_do_wyboru[[#This Row],[sem7.forma]]="z"),4,AND(Tabela_do_wyboru[[#This Row],[sem7.godziny]]&gt;=$H$194,Tabela_do_wyboru[[#This Row],[sem7.forma]]="e"),2,AND(Tabela_do_wyboru[[#This Row],[sem7.godziny]]&lt;$H$194,Tabela_do_wyboru[[#This Row],[sem7.forma]]="e"),1,AND(Tabela_do_wyboru[[#This Row],[sem7.godziny]]&gt;=$H$194,Tabela_do_wyboru[[#This Row],[sem7.forma]]="z"),2,AND(Tabela_do_wyboru[[#This Row],[sem7.godziny]]&lt;$H$194,Tabela_do_wyboru[[#This Row],[sem7.forma]]="z"),1,TRUE,""),"")</f>
        <v/>
      </c>
      <c r="AD85" s="420"/>
      <c r="AE85" s="422"/>
      <c r="AF85" s="423" t="str" cm="1">
        <f t="array" ref="AF85">IF(Tabela_do_wyboru[[#This Row],[czy.ects]]="TAK",_xlfn.IFS(AND(Tabela_do_wyboru[[#This Row],[sem8.godziny]]&gt;=$Q$194,Tabela_do_wyboru[[#This Row],[sem8.forma]]="z"),8,AND(Tabela_do_wyboru[[#This Row],[sem8.godziny]]&gt;=$I$194,Tabela_do_wyboru[[#This Row],[sem8.forma]]="z"),4,AND(Tabela_do_wyboru[[#This Row],[sem8.godziny]]&gt;=$H$194,Tabela_do_wyboru[[#This Row],[sem8.forma]]="e"),2,AND(Tabela_do_wyboru[[#This Row],[sem8.godziny]]&lt;$H$194,Tabela_do_wyboru[[#This Row],[sem8.forma]]="e"),1,AND(Tabela_do_wyboru[[#This Row],[sem8.godziny]]&gt;=$H$194,Tabela_do_wyboru[[#This Row],[sem8.forma]]="z"),2,AND(Tabela_do_wyboru[[#This Row],[sem8.godziny]]&lt;$H$194,Tabela_do_wyboru[[#This Row],[sem8.forma]]="z"),1,TRUE,""),"")</f>
        <v/>
      </c>
      <c r="AG85" s="422"/>
      <c r="AH85" s="424"/>
      <c r="AI85" s="425" t="str" cm="1">
        <f t="array" ref="AI85">IF(Tabela_do_wyboru[[#This Row],[czy.ects]]="TAK",_xlfn.IFS(AND(Tabela_do_wyboru[[#This Row],[sem9.godziny]]&gt;=$Q$194,Tabela_do_wyboru[[#This Row],[sem9.forma]]="z"),8,AND(Tabela_do_wyboru[[#This Row],[sem9.godziny]]&gt;=$I$194,Tabela_do_wyboru[[#This Row],[sem9.forma]]="z"),4,AND(Tabela_do_wyboru[[#This Row],[sem9.godziny]]&gt;=$H$194,Tabela_do_wyboru[[#This Row],[sem9.forma]]="e"),2,AND(Tabela_do_wyboru[[#This Row],[sem9.godziny]]&lt;$H$194,Tabela_do_wyboru[[#This Row],[sem9.forma]]="e"),1,AND(Tabela_do_wyboru[[#This Row],[sem9.godziny]]&gt;=$H$194,Tabela_do_wyboru[[#This Row],[sem9.forma]]="z"),2,AND(Tabela_do_wyboru[[#This Row],[sem9.godziny]]&lt;$H$194,Tabela_do_wyboru[[#This Row],[sem9.forma]]="z"),1,TRUE,""),"")</f>
        <v/>
      </c>
      <c r="AJ85" s="424"/>
      <c r="AK85" s="426"/>
      <c r="AL85" s="427" t="str" cm="1">
        <f t="array" ref="AL85">IF(Tabela_do_wyboru[[#This Row],[czy.ects]]="TAK",_xlfn.IFS(AND(Tabela_do_wyboru[[#This Row],[sem10.godziny]]&gt;=$Q$194,Tabela_do_wyboru[[#This Row],[sem10.forma]]="z"),8,AND(Tabela_do_wyboru[[#This Row],[sem10.godziny]]&gt;=$I$194,Tabela_do_wyboru[[#This Row],[sem10.forma]]="z"),4,AND(Tabela_do_wyboru[[#This Row],[sem10.godziny]]&gt;=$H$194,Tabela_do_wyboru[[#This Row],[sem10.forma]]="e"),2,AND(Tabela_do_wyboru[[#This Row],[sem10.godziny]]&lt;$H$194,Tabela_do_wyboru[[#This Row],[sem10.forma]]="e"),1,AND(Tabela_do_wyboru[[#This Row],[sem10.godziny]]&gt;=$H$194,Tabela_do_wyboru[[#This Row],[sem10.forma]]="z"),2,AND(Tabela_do_wyboru[[#This Row],[sem10.godziny]]&lt;$H$194,Tabela_do_wyboru[[#This Row],[sem10.forma]]="z"),1,TRUE,""),"")</f>
        <v/>
      </c>
      <c r="AM85" s="426"/>
      <c r="AN85" s="428">
        <f>SUM(Tabela_do_wyboru[[#This Row],[sem1.ects]],Tabela_do_wyboru[[#This Row],[sem2.ects]],Tabela_do_wyboru[[#This Row],[sem3.ects]],Tabela_do_wyboru[[#This Row],[sem4.ects]],Tabela_do_wyboru[[#This Row],[sem5.ects]],Tabela_do_wyboru[[#This Row],[sem6.ects]],Tabela_do_wyboru[[#This Row],[sem7.ects]],Tabela_do_wyboru[[#This Row],[sem8.ects]],Tabela_do_wyboru[[#This Row],[sem9.ects]],Tabela_do_wyboru[[#This Row],[sem10.ects]])</f>
        <v>0</v>
      </c>
      <c r="AO85" s="429">
        <f>IF(ISERR(SEARCH("UP",Tabela_do_wyboru[[#This Row],[Umiej.prakt.]],1)),0,Tabela_do_wyboru[[#This Row],[ects.razem]])</f>
        <v>0</v>
      </c>
      <c r="AP85" s="430">
        <f>IF(Tabela_do_wyboru[[#This Row],[czy.ects]]="TAK",ROUND((SUM(Tabela_do_wyboru[[#This Row],[godziny.konsultacja]],Tabela_do_wyboru[[#This Row],[godziny.egzamin]],Tabela_do_wyboru[[#This Row],[godziny.zajec.razem]])/25)/0.5,0)*0.5,0)</f>
        <v>0</v>
      </c>
      <c r="AQ85" s="431">
        <f>SUM(Tabela_do_wyboru[[#This Row],[godziny.samoksztalcenie]],Tabela_do_wyboru[[#This Row],[godziny.konsultacja]],Tabela_do_wyboru[[#This Row],[godziny.egzamin]],Tabela_do_wyboru[[#This Row],[godziny.zajec.razem]])</f>
        <v>0</v>
      </c>
      <c r="AR85" s="432">
        <f>INT(SUM(Tabela_do_wyboru[[#This Row],[godziny.konsultacja]],Tabela_do_wyboru[[#This Row],[godziny.egzamin]],Tabela_do_wyboru[[#This Row],[godziny.zajec.razem]])*0.5+Tabela_do_wyboru[[#This Row],[godziny.zajec.razem]]*(15-$G$191)/9)</f>
        <v>0</v>
      </c>
      <c r="AS85" s="433">
        <f>INT(Tabela_do_wyboru[[#This Row],[godziny.zajec.razem]]*0.1)</f>
        <v>0</v>
      </c>
      <c r="AT85" s="409">
        <f>IF(Tabela_do_wyboru[[#This Row],[godziny.zajec.razem]]&gt;0,IF(Tabela_do_wyboru[[#This Row],[godziny.zajec.razem]]&gt;=45,4,2),0)</f>
        <v>0</v>
      </c>
      <c r="AU85" s="434">
        <f>SUM(Tabela_do_wyboru[[#This Row],[sem1.godziny]],Tabela_do_wyboru[[#This Row],[sem2.godziny]],Tabela_do_wyboru[[#This Row],[sem3.godziny]],Tabela_do_wyboru[[#This Row],[sem4.godziny]],Tabela_do_wyboru[[#This Row],[sem5.godziny]],Tabela_do_wyboru[[#This Row],[sem6.godziny]],Tabela_do_wyboru[[#This Row],[sem7.godziny]],Tabela_do_wyboru[[#This Row],[sem8.godziny]],Tabela_do_wyboru[[#This Row],[sem9.godziny]],Tabela_do_wyboru[[#This Row],[sem10.godziny]])</f>
        <v>0</v>
      </c>
      <c r="AV85" s="435">
        <f>IF(Tabela_do_wyboru[[#This Row],[ects.bezposr.nauczyciel]],Tabela_do_wyboru[[#This Row],[ects.bezposr.nauczyciel]]/Tabela_do_wyboru[[#This Row],[ects.razem]],0)</f>
        <v>0</v>
      </c>
      <c r="AW85" s="207"/>
    </row>
    <row r="86" spans="1:49" ht="7.5" hidden="1" customHeight="1" thickBot="1" x14ac:dyDescent="0.35">
      <c r="A86" s="207"/>
      <c r="B86" s="599"/>
      <c r="C86" s="600"/>
      <c r="D86" s="561"/>
      <c r="E86" s="561"/>
      <c r="F86" s="601"/>
      <c r="G86" s="602"/>
      <c r="H86" s="603"/>
      <c r="I86" s="561"/>
      <c r="J86" s="604"/>
      <c r="K86" s="604"/>
      <c r="L86" s="577"/>
      <c r="M86" s="605"/>
      <c r="N86" s="606"/>
      <c r="O86" s="606"/>
      <c r="P86" s="606"/>
      <c r="Q86" s="607"/>
      <c r="R86" s="606"/>
      <c r="S86" s="606"/>
      <c r="T86" s="606"/>
      <c r="U86" s="606"/>
      <c r="V86" s="606"/>
      <c r="W86" s="606"/>
      <c r="X86" s="606"/>
      <c r="Y86" s="606"/>
      <c r="Z86" s="606"/>
      <c r="AA86" s="606"/>
      <c r="AB86" s="606"/>
      <c r="AC86" s="606"/>
      <c r="AD86" s="606"/>
      <c r="AE86" s="577"/>
      <c r="AF86" s="577"/>
      <c r="AG86" s="577"/>
      <c r="AH86" s="606"/>
      <c r="AI86" s="577"/>
      <c r="AJ86" s="577"/>
      <c r="AK86" s="577"/>
      <c r="AL86" s="577"/>
      <c r="AM86" s="578"/>
      <c r="AN86" s="608"/>
      <c r="AO86" s="609"/>
      <c r="AP86" s="609"/>
      <c r="AQ86" s="609"/>
      <c r="AR86" s="609"/>
      <c r="AS86" s="609"/>
      <c r="AT86" s="609"/>
      <c r="AU86" s="609"/>
      <c r="AV86" s="609"/>
      <c r="AW86" s="207"/>
    </row>
    <row r="87" spans="1:49" ht="25.5" customHeight="1" thickBot="1" x14ac:dyDescent="0.35">
      <c r="A87" s="207"/>
      <c r="B87" s="762" t="s">
        <v>536</v>
      </c>
      <c r="C87" s="763"/>
      <c r="D87" s="763"/>
      <c r="E87" s="763"/>
      <c r="F87" s="763"/>
      <c r="G87" s="763"/>
      <c r="H87" s="763"/>
      <c r="I87" s="763"/>
      <c r="J87" s="579">
        <f>SUM(Tabela_SP1[sem1.godziny])</f>
        <v>0</v>
      </c>
      <c r="K87" s="579">
        <f>SUM(Tabela_SP1[sem1.ects])</f>
        <v>0</v>
      </c>
      <c r="L87" s="579"/>
      <c r="M87" s="579">
        <f>SUM(Tabela_SP1[sem2.godziny])</f>
        <v>0</v>
      </c>
      <c r="N87" s="579">
        <f>SUM(Tabela_SP1[sem2.ects])</f>
        <v>0</v>
      </c>
      <c r="O87" s="579"/>
      <c r="P87" s="579">
        <f>SUM(Tabela_SP1[sem3.godziny])</f>
        <v>0</v>
      </c>
      <c r="Q87" s="579">
        <f>SUM(Tabela_SP1[sem3.ects])</f>
        <v>0</v>
      </c>
      <c r="R87" s="579"/>
      <c r="S87" s="579">
        <f>SUM(Tabela_SP1[sem4.godziny])</f>
        <v>290</v>
      </c>
      <c r="T87" s="579">
        <f>SUM(Tabela_SP1[sem4.ects])</f>
        <v>15</v>
      </c>
      <c r="U87" s="579"/>
      <c r="V87" s="579">
        <f>SUM(Tabela_SP1[sem5.godziny])</f>
        <v>335</v>
      </c>
      <c r="W87" s="579">
        <f>SUM(Tabela_SP1[sem5.ects])</f>
        <v>20</v>
      </c>
      <c r="X87" s="579"/>
      <c r="Y87" s="579">
        <f>SUM(Tabela_SP1[sem6.godziny])</f>
        <v>358</v>
      </c>
      <c r="Z87" s="579">
        <f>SUM(Tabela_SP1[sem6.ects])</f>
        <v>21</v>
      </c>
      <c r="AA87" s="579"/>
      <c r="AB87" s="579">
        <f>SUM(Tabela_SP1[sem7.godziny])</f>
        <v>0</v>
      </c>
      <c r="AC87" s="579">
        <f>SUM(Tabela_SP1[sem7.ects])</f>
        <v>0</v>
      </c>
      <c r="AD87" s="579"/>
      <c r="AE87" s="579">
        <f>SUM(Tabela_SP1[sem5.godziny])</f>
        <v>335</v>
      </c>
      <c r="AF87" s="579">
        <f>SUM(Tabela_SP1[sem5.ects])</f>
        <v>20</v>
      </c>
      <c r="AG87" s="579"/>
      <c r="AH87" s="579">
        <f>SUM(Tabela_SP1[sem6.godziny])</f>
        <v>358</v>
      </c>
      <c r="AI87" s="579">
        <f>SUM(Tabela_SP1[sem6.ects])</f>
        <v>21</v>
      </c>
      <c r="AJ87" s="579"/>
      <c r="AK87" s="579">
        <f>SUM(Tabela_SP1[sem7.godziny])</f>
        <v>0</v>
      </c>
      <c r="AL87" s="579">
        <f>SUM(Tabela_SP1[sem7.ects])</f>
        <v>0</v>
      </c>
      <c r="AM87" s="579"/>
      <c r="AN87" s="579">
        <f>SUM(Tabela_SP1[ects.razem])</f>
        <v>56</v>
      </c>
      <c r="AO87" s="579">
        <f>SUM(Tabela_SP1[ects.umiej.prakt.])</f>
        <v>56</v>
      </c>
      <c r="AP87" s="579">
        <f>SUM(Tabela_SP1[ects.bezposr.nauczyciel])</f>
        <v>43</v>
      </c>
      <c r="AQ87" s="579">
        <f>SUM(Tabela_SP1[godziny.razem.student])</f>
        <v>1662</v>
      </c>
      <c r="AR87" s="579">
        <f>SUM(Tabela_SP1[godziny.samoksztalcenie])</f>
        <v>551</v>
      </c>
      <c r="AS87" s="579">
        <f>SUM(Tabela_SP1[godziny.konsultacja])</f>
        <v>96</v>
      </c>
      <c r="AT87" s="579">
        <f>SUM(Tabela_SP1[godziny.egzamin])</f>
        <v>32</v>
      </c>
      <c r="AU87" s="579">
        <f>SUM(Tabela_SP1[godziny.zajec.razem])</f>
        <v>983</v>
      </c>
      <c r="AV87" s="465"/>
      <c r="AW87" s="49"/>
    </row>
    <row r="88" spans="1:49" ht="25.5" hidden="1" customHeight="1" x14ac:dyDescent="0.3">
      <c r="A88" s="207"/>
      <c r="B88" s="610" t="s">
        <v>374</v>
      </c>
      <c r="C88" s="611" t="s">
        <v>373</v>
      </c>
      <c r="D88" s="612" t="s">
        <v>372</v>
      </c>
      <c r="E88" s="613" t="s">
        <v>371</v>
      </c>
      <c r="F88" s="614" t="s">
        <v>368</v>
      </c>
      <c r="G88" s="615" t="s">
        <v>369</v>
      </c>
      <c r="H88" s="616" t="s">
        <v>370</v>
      </c>
      <c r="I88" s="617" t="s">
        <v>375</v>
      </c>
      <c r="J88" s="618" t="s">
        <v>376</v>
      </c>
      <c r="K88" s="619" t="s">
        <v>377</v>
      </c>
      <c r="L88" s="620" t="s">
        <v>378</v>
      </c>
      <c r="M88" s="621" t="s">
        <v>379</v>
      </c>
      <c r="N88" s="622" t="s">
        <v>380</v>
      </c>
      <c r="O88" s="621" t="s">
        <v>381</v>
      </c>
      <c r="P88" s="623" t="s">
        <v>382</v>
      </c>
      <c r="Q88" s="624" t="s">
        <v>383</v>
      </c>
      <c r="R88" s="623" t="s">
        <v>384</v>
      </c>
      <c r="S88" s="625" t="s">
        <v>385</v>
      </c>
      <c r="T88" s="626" t="s">
        <v>386</v>
      </c>
      <c r="U88" s="625" t="s">
        <v>387</v>
      </c>
      <c r="V88" s="627" t="s">
        <v>388</v>
      </c>
      <c r="W88" s="628" t="s">
        <v>389</v>
      </c>
      <c r="X88" s="627" t="s">
        <v>390</v>
      </c>
      <c r="Y88" s="629" t="s">
        <v>391</v>
      </c>
      <c r="Z88" s="630" t="s">
        <v>392</v>
      </c>
      <c r="AA88" s="629" t="s">
        <v>393</v>
      </c>
      <c r="AB88" s="631" t="s">
        <v>394</v>
      </c>
      <c r="AC88" s="632" t="s">
        <v>395</v>
      </c>
      <c r="AD88" s="631" t="s">
        <v>396</v>
      </c>
      <c r="AE88" s="382" t="s">
        <v>409</v>
      </c>
      <c r="AF88" s="382" t="s">
        <v>410</v>
      </c>
      <c r="AG88" s="382" t="s">
        <v>411</v>
      </c>
      <c r="AH88" s="385" t="s">
        <v>412</v>
      </c>
      <c r="AI88" s="385" t="s">
        <v>413</v>
      </c>
      <c r="AJ88" s="385" t="s">
        <v>414</v>
      </c>
      <c r="AK88" s="387" t="s">
        <v>415</v>
      </c>
      <c r="AL88" s="387" t="s">
        <v>416</v>
      </c>
      <c r="AM88" s="387" t="s">
        <v>417</v>
      </c>
      <c r="AN88" s="633" t="s">
        <v>397</v>
      </c>
      <c r="AO88" s="634" t="s">
        <v>398</v>
      </c>
      <c r="AP88" s="635" t="s">
        <v>399</v>
      </c>
      <c r="AQ88" s="636" t="s">
        <v>400</v>
      </c>
      <c r="AR88" s="637" t="s">
        <v>401</v>
      </c>
      <c r="AS88" s="638" t="s">
        <v>402</v>
      </c>
      <c r="AT88" s="639" t="s">
        <v>403</v>
      </c>
      <c r="AU88" s="640" t="s">
        <v>404</v>
      </c>
      <c r="AV88" s="641" t="s">
        <v>405</v>
      </c>
      <c r="AW88" s="49"/>
    </row>
    <row r="89" spans="1:49" ht="25.5" customHeight="1" x14ac:dyDescent="0.3">
      <c r="A89" s="207"/>
      <c r="B89" s="397" t="s">
        <v>490</v>
      </c>
      <c r="C89" s="398" t="s">
        <v>486</v>
      </c>
      <c r="D89" s="362" t="s">
        <v>538</v>
      </c>
      <c r="E89" s="362" t="s">
        <v>604</v>
      </c>
      <c r="F89" s="401" t="s">
        <v>539</v>
      </c>
      <c r="G89" s="365"/>
      <c r="H89" s="366" t="s">
        <v>39</v>
      </c>
      <c r="I89" s="367" t="s">
        <v>32</v>
      </c>
      <c r="J89" s="368"/>
      <c r="K89" s="369" t="str" cm="1">
        <f t="array" ref="K89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89" s="368"/>
      <c r="M89" s="370"/>
      <c r="N89" s="371" t="str" cm="1">
        <f t="array" ref="N89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89" s="370"/>
      <c r="P89" s="372"/>
      <c r="Q89" s="373" t="str" cm="1">
        <f t="array" ref="Q89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89" s="372"/>
      <c r="S89" s="374">
        <v>30</v>
      </c>
      <c r="T89" s="375">
        <v>3</v>
      </c>
      <c r="U89" s="374" t="s">
        <v>33</v>
      </c>
      <c r="V89" s="673"/>
      <c r="W89" s="445" t="str" cm="1">
        <f t="array" ref="W89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89" s="673"/>
      <c r="Y89" s="674"/>
      <c r="Z89" s="446" t="str" cm="1">
        <f t="array" ref="Z89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89" s="674"/>
      <c r="AB89" s="380"/>
      <c r="AC89" s="381" t="str" cm="1">
        <f t="array" ref="AC89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89" s="380"/>
      <c r="AE89" s="382"/>
      <c r="AF89" s="383" t="str" cm="1">
        <f t="array" ref="AF89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89" s="382"/>
      <c r="AH89" s="384"/>
      <c r="AI89" s="385" t="str" cm="1">
        <f t="array" ref="AI89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89" s="384"/>
      <c r="AK89" s="386"/>
      <c r="AL89" s="387" t="str" cm="1">
        <f t="array" ref="AL89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89" s="386"/>
      <c r="AN89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89" s="389">
        <f>IF(ISERR(SEARCH("UP",Tabela_SP1[[#This Row],[Umiej.prakt.]],1)),0,Tabela_SP1[[#This Row],[ects.razem]])</f>
        <v>3</v>
      </c>
      <c r="AP89" s="390">
        <f>IF(Tabela_SP1[[#This Row],[czy.ects]]="TAK",ROUND((SUM(Tabela_SP1[[#This Row],[godziny.konsultacja]],Tabela_SP1[[#This Row],[godziny.egzamin]],Tabela_SP1[[#This Row],[godziny.zajec.razem]])/25)/0.5,0)*0.5,0)</f>
        <v>1.5</v>
      </c>
      <c r="AQ89" s="391">
        <f>SUM(Tabela_SP1[[#This Row],[godziny.samoksztalcenie]],Tabela_SP1[[#This Row],[godziny.konsultacja]],Tabela_SP1[[#This Row],[godziny.egzamin]],Tabela_SP1[[#This Row],[godziny.zajec.razem]])</f>
        <v>52</v>
      </c>
      <c r="AR89" s="392">
        <f>INT(SUM(Tabela_SP1[[#This Row],[godziny.konsultacja]],Tabela_SP1[[#This Row],[godziny.egzamin]],Tabela_SP1[[#This Row],[godziny.zajec.razem]])*0.5+Tabela_SP1[[#This Row],[godziny.zajec.razem]]*(15-$G$194)/9)</f>
        <v>17</v>
      </c>
      <c r="AS89" s="393">
        <f>INT(Tabela_SP1[[#This Row],[godziny.zajec.razem]]*0.1)</f>
        <v>3</v>
      </c>
      <c r="AT89" s="394">
        <f>IF(Tabela_SP1[[#This Row],[godziny.zajec.razem]]&gt;0,IF(Tabela_SP1[[#This Row],[godziny.zajec.razem]]&gt;=45,4,2),0)</f>
        <v>2</v>
      </c>
      <c r="AU89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89" s="396">
        <f>IF(Tabela_SP1[[#This Row],[ects.bezposr.nauczyciel]],Tabela_SP1[[#This Row],[ects.bezposr.nauczyciel]]/Tabela_SP1[[#This Row],[ects.razem]],0)</f>
        <v>0.5</v>
      </c>
      <c r="AW89" s="49"/>
    </row>
    <row r="90" spans="1:49" ht="25.5" customHeight="1" x14ac:dyDescent="0.3">
      <c r="A90" s="207"/>
      <c r="B90" s="397" t="s">
        <v>490</v>
      </c>
      <c r="C90" s="398" t="s">
        <v>486</v>
      </c>
      <c r="D90" s="362" t="s">
        <v>540</v>
      </c>
      <c r="E90" s="362" t="s">
        <v>604</v>
      </c>
      <c r="F90" s="399" t="s">
        <v>542</v>
      </c>
      <c r="G90" s="365"/>
      <c r="H90" s="366" t="s">
        <v>37</v>
      </c>
      <c r="I90" s="367" t="s">
        <v>32</v>
      </c>
      <c r="J90" s="368"/>
      <c r="K90" s="369" t="str" cm="1">
        <f t="array" ref="K90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0" s="368"/>
      <c r="M90" s="370"/>
      <c r="N90" s="371" t="str" cm="1">
        <f t="array" ref="N90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0" s="370"/>
      <c r="P90" s="372"/>
      <c r="Q90" s="373" t="str" cm="1">
        <f t="array" ref="Q90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0" s="372"/>
      <c r="S90" s="374">
        <v>15</v>
      </c>
      <c r="T90" s="375" cm="1">
        <f t="array" ref="T90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>1</v>
      </c>
      <c r="U90" s="374" t="s">
        <v>33</v>
      </c>
      <c r="V90" s="673"/>
      <c r="W90" s="445" t="str" cm="1">
        <f t="array" ref="W90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90" s="673"/>
      <c r="Y90" s="674"/>
      <c r="Z90" s="446" t="str" cm="1">
        <f t="array" ref="Z90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90" s="674"/>
      <c r="AB90" s="380"/>
      <c r="AC90" s="381" t="str" cm="1">
        <f t="array" ref="AC90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0" s="380"/>
      <c r="AE90" s="382"/>
      <c r="AF90" s="383" t="str" cm="1">
        <f t="array" ref="AF90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0" s="382"/>
      <c r="AH90" s="384"/>
      <c r="AI90" s="385" t="str" cm="1">
        <f t="array" ref="AI90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0" s="384"/>
      <c r="AK90" s="386"/>
      <c r="AL90" s="387" t="str" cm="1">
        <f t="array" ref="AL90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0" s="386"/>
      <c r="AN90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1</v>
      </c>
      <c r="AO90" s="389">
        <f>IF(ISERR(SEARCH("UP",Tabela_SP1[[#This Row],[Umiej.prakt.]],1)),0,Tabela_SP1[[#This Row],[ects.razem]])</f>
        <v>1</v>
      </c>
      <c r="AP90" s="390">
        <f>IF(Tabela_SP1[[#This Row],[czy.ects]]="TAK",ROUND((SUM(Tabela_SP1[[#This Row],[godziny.konsultacja]],Tabela_SP1[[#This Row],[godziny.egzamin]],Tabela_SP1[[#This Row],[godziny.zajec.razem]])/25)/0.5,0)*0.5,0)</f>
        <v>0.5</v>
      </c>
      <c r="AQ90" s="391">
        <f>SUM(Tabela_SP1[[#This Row],[godziny.samoksztalcenie]],Tabela_SP1[[#This Row],[godziny.konsultacja]],Tabela_SP1[[#This Row],[godziny.egzamin]],Tabela_SP1[[#This Row],[godziny.zajec.razem]])</f>
        <v>27</v>
      </c>
      <c r="AR90" s="392">
        <f>INT(SUM(Tabela_SP1[[#This Row],[godziny.konsultacja]],Tabela_SP1[[#This Row],[godziny.egzamin]],Tabela_SP1[[#This Row],[godziny.zajec.razem]])*0.5+Tabela_SP1[[#This Row],[godziny.zajec.razem]]*(15-$G$194)/9)</f>
        <v>9</v>
      </c>
      <c r="AS90" s="393">
        <f>INT(Tabela_SP1[[#This Row],[godziny.zajec.razem]]*0.1)</f>
        <v>1</v>
      </c>
      <c r="AT90" s="394">
        <f>IF(Tabela_SP1[[#This Row],[godziny.zajec.razem]]&gt;0,IF(Tabela_SP1[[#This Row],[godziny.zajec.razem]]&gt;=45,4,2),0)</f>
        <v>2</v>
      </c>
      <c r="AU90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15</v>
      </c>
      <c r="AV90" s="396">
        <f>IF(Tabela_SP1[[#This Row],[ects.bezposr.nauczyciel]],Tabela_SP1[[#This Row],[ects.bezposr.nauczyciel]]/Tabela_SP1[[#This Row],[ects.razem]],0)</f>
        <v>0.5</v>
      </c>
      <c r="AW90" s="49"/>
    </row>
    <row r="91" spans="1:49" ht="25.5" customHeight="1" x14ac:dyDescent="0.3">
      <c r="A91" s="207"/>
      <c r="B91" s="397" t="s">
        <v>490</v>
      </c>
      <c r="C91" s="398" t="s">
        <v>486</v>
      </c>
      <c r="D91" s="362" t="s">
        <v>541</v>
      </c>
      <c r="E91" s="362" t="s">
        <v>604</v>
      </c>
      <c r="F91" s="399" t="s">
        <v>542</v>
      </c>
      <c r="G91" s="365"/>
      <c r="H91" s="366" t="s">
        <v>31</v>
      </c>
      <c r="I91" s="367" t="s">
        <v>32</v>
      </c>
      <c r="J91" s="368"/>
      <c r="K91" s="369" t="str" cm="1">
        <f t="array" ref="K91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1" s="368"/>
      <c r="M91" s="370"/>
      <c r="N91" s="371" t="str" cm="1">
        <f t="array" ref="N91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1" s="370"/>
      <c r="P91" s="372"/>
      <c r="Q91" s="373" t="str" cm="1">
        <f t="array" ref="Q91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1" s="372"/>
      <c r="S91" s="374">
        <v>30</v>
      </c>
      <c r="T91" s="375">
        <v>3</v>
      </c>
      <c r="U91" s="374" t="s">
        <v>33</v>
      </c>
      <c r="V91" s="673"/>
      <c r="W91" s="445" t="str" cm="1">
        <f t="array" ref="W91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91" s="673"/>
      <c r="Y91" s="674"/>
      <c r="Z91" s="446" t="str" cm="1">
        <f t="array" ref="Z91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91" s="674"/>
      <c r="AB91" s="380"/>
      <c r="AC91" s="381" t="str" cm="1">
        <f t="array" ref="AC91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1" s="380"/>
      <c r="AE91" s="382"/>
      <c r="AF91" s="383" t="str" cm="1">
        <f t="array" ref="AF91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1" s="382"/>
      <c r="AH91" s="384"/>
      <c r="AI91" s="385" t="str" cm="1">
        <f t="array" ref="AI91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1" s="384"/>
      <c r="AK91" s="386"/>
      <c r="AL91" s="387" t="str" cm="1">
        <f t="array" ref="AL91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1" s="386"/>
      <c r="AN91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1" s="389">
        <f>IF(ISERR(SEARCH("UP",Tabela_SP1[[#This Row],[Umiej.prakt.]],1)),0,Tabela_SP1[[#This Row],[ects.razem]])</f>
        <v>3</v>
      </c>
      <c r="AP91" s="390">
        <f>IF(Tabela_SP1[[#This Row],[czy.ects]]="TAK",ROUND((SUM(Tabela_SP1[[#This Row],[godziny.konsultacja]],Tabela_SP1[[#This Row],[godziny.egzamin]],Tabela_SP1[[#This Row],[godziny.zajec.razem]])/25)/0.5,0)*0.5,0)</f>
        <v>1.5</v>
      </c>
      <c r="AQ91" s="391">
        <f>SUM(Tabela_SP1[[#This Row],[godziny.samoksztalcenie]],Tabela_SP1[[#This Row],[godziny.konsultacja]],Tabela_SP1[[#This Row],[godziny.egzamin]],Tabela_SP1[[#This Row],[godziny.zajec.razem]])</f>
        <v>52</v>
      </c>
      <c r="AR91" s="392">
        <f>INT(SUM(Tabela_SP1[[#This Row],[godziny.konsultacja]],Tabela_SP1[[#This Row],[godziny.egzamin]],Tabela_SP1[[#This Row],[godziny.zajec.razem]])*0.5+Tabela_SP1[[#This Row],[godziny.zajec.razem]]*(15-$G$194)/9)</f>
        <v>17</v>
      </c>
      <c r="AS91" s="393">
        <f>INT(Tabela_SP1[[#This Row],[godziny.zajec.razem]]*0.1)</f>
        <v>3</v>
      </c>
      <c r="AT91" s="394">
        <f>IF(Tabela_SP1[[#This Row],[godziny.zajec.razem]]&gt;0,IF(Tabela_SP1[[#This Row],[godziny.zajec.razem]]&gt;=45,4,2),0)</f>
        <v>2</v>
      </c>
      <c r="AU91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1" s="396">
        <f>IF(Tabela_SP1[[#This Row],[ects.bezposr.nauczyciel]],Tabela_SP1[[#This Row],[ects.bezposr.nauczyciel]]/Tabela_SP1[[#This Row],[ects.razem]],0)</f>
        <v>0.5</v>
      </c>
      <c r="AW91" s="49"/>
    </row>
    <row r="92" spans="1:49" ht="25.5" customHeight="1" x14ac:dyDescent="0.3">
      <c r="A92" s="207"/>
      <c r="B92" s="397" t="s">
        <v>490</v>
      </c>
      <c r="C92" s="398" t="s">
        <v>486</v>
      </c>
      <c r="D92" s="362" t="s">
        <v>543</v>
      </c>
      <c r="E92" s="362" t="s">
        <v>604</v>
      </c>
      <c r="F92" s="399" t="s">
        <v>544</v>
      </c>
      <c r="G92" s="365"/>
      <c r="H92" s="366" t="s">
        <v>37</v>
      </c>
      <c r="I92" s="367" t="s">
        <v>32</v>
      </c>
      <c r="J92" s="368"/>
      <c r="K92" s="369" t="str" cm="1">
        <f t="array" ref="K92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2" s="368"/>
      <c r="M92" s="370"/>
      <c r="N92" s="371" t="str" cm="1">
        <f t="array" ref="N92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2" s="370"/>
      <c r="P92" s="372"/>
      <c r="Q92" s="373" t="str" cm="1">
        <f t="array" ref="Q92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2" s="372"/>
      <c r="S92" s="374"/>
      <c r="T92" s="375" t="str" cm="1">
        <f t="array" ref="T92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2" s="374"/>
      <c r="V92" s="673">
        <v>30</v>
      </c>
      <c r="W92" s="445">
        <v>3</v>
      </c>
      <c r="X92" s="673" t="s">
        <v>33</v>
      </c>
      <c r="Y92" s="674"/>
      <c r="Z92" s="446" t="str" cm="1">
        <f t="array" ref="Z92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92" s="674"/>
      <c r="AB92" s="380"/>
      <c r="AC92" s="381" t="str" cm="1">
        <f t="array" ref="AC92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2" s="380"/>
      <c r="AE92" s="382"/>
      <c r="AF92" s="383" t="str" cm="1">
        <f t="array" ref="AF92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2" s="382"/>
      <c r="AH92" s="384"/>
      <c r="AI92" s="385" t="str" cm="1">
        <f t="array" ref="AI92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2" s="384"/>
      <c r="AK92" s="386"/>
      <c r="AL92" s="387" t="str" cm="1">
        <f t="array" ref="AL92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2" s="386"/>
      <c r="AN92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2" s="389">
        <f>IF(ISERR(SEARCH("UP",Tabela_SP1[[#This Row],[Umiej.prakt.]],1)),0,Tabela_SP1[[#This Row],[ects.razem]])</f>
        <v>3</v>
      </c>
      <c r="AP92" s="390">
        <f>IF(Tabela_SP1[[#This Row],[czy.ects]]="TAK",ROUND((SUM(Tabela_SP1[[#This Row],[godziny.konsultacja]],Tabela_SP1[[#This Row],[godziny.egzamin]],Tabela_SP1[[#This Row],[godziny.zajec.razem]])/25)/0.5,0)*0.5,0)</f>
        <v>1.5</v>
      </c>
      <c r="AQ92" s="391">
        <f>SUM(Tabela_SP1[[#This Row],[godziny.samoksztalcenie]],Tabela_SP1[[#This Row],[godziny.konsultacja]],Tabela_SP1[[#This Row],[godziny.egzamin]],Tabela_SP1[[#This Row],[godziny.zajec.razem]])</f>
        <v>52</v>
      </c>
      <c r="AR92" s="392">
        <f>INT(SUM(Tabela_SP1[[#This Row],[godziny.konsultacja]],Tabela_SP1[[#This Row],[godziny.egzamin]],Tabela_SP1[[#This Row],[godziny.zajec.razem]])*0.5+Tabela_SP1[[#This Row],[godziny.zajec.razem]]*(15-$G$194)/9)</f>
        <v>17</v>
      </c>
      <c r="AS92" s="393">
        <f>INT(Tabela_SP1[[#This Row],[godziny.zajec.razem]]*0.1)</f>
        <v>3</v>
      </c>
      <c r="AT92" s="394">
        <f>IF(Tabela_SP1[[#This Row],[godziny.zajec.razem]]&gt;0,IF(Tabela_SP1[[#This Row],[godziny.zajec.razem]]&gt;=45,4,2),0)</f>
        <v>2</v>
      </c>
      <c r="AU92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2" s="396">
        <f>IF(Tabela_SP1[[#This Row],[ects.bezposr.nauczyciel]],Tabela_SP1[[#This Row],[ects.bezposr.nauczyciel]]/Tabela_SP1[[#This Row],[ects.razem]],0)</f>
        <v>0.5</v>
      </c>
      <c r="AW92" s="49"/>
    </row>
    <row r="93" spans="1:49" ht="25.5" customHeight="1" x14ac:dyDescent="0.3">
      <c r="A93" s="207"/>
      <c r="B93" s="397" t="s">
        <v>490</v>
      </c>
      <c r="C93" s="398" t="s">
        <v>486</v>
      </c>
      <c r="D93" s="362" t="s">
        <v>545</v>
      </c>
      <c r="E93" s="362" t="s">
        <v>604</v>
      </c>
      <c r="F93" s="399" t="s">
        <v>547</v>
      </c>
      <c r="G93" s="365"/>
      <c r="H93" s="366" t="s">
        <v>37</v>
      </c>
      <c r="I93" s="367" t="s">
        <v>32</v>
      </c>
      <c r="J93" s="368"/>
      <c r="K93" s="369" t="str" cm="1">
        <f t="array" ref="K93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3" s="368"/>
      <c r="M93" s="370"/>
      <c r="N93" s="371" t="str" cm="1">
        <f t="array" ref="N93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3" s="370"/>
      <c r="P93" s="372"/>
      <c r="Q93" s="373" t="str" cm="1">
        <f t="array" ref="Q93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3" s="372"/>
      <c r="S93" s="374"/>
      <c r="T93" s="375" t="str" cm="1">
        <f t="array" ref="T93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3" s="374"/>
      <c r="V93" s="673">
        <v>30</v>
      </c>
      <c r="W93" s="445">
        <v>3</v>
      </c>
      <c r="X93" s="673" t="s">
        <v>33</v>
      </c>
      <c r="Y93" s="674"/>
      <c r="Z93" s="446" t="str" cm="1">
        <f t="array" ref="Z93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93" s="674"/>
      <c r="AB93" s="380"/>
      <c r="AC93" s="381" t="str" cm="1">
        <f t="array" ref="AC93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3" s="380"/>
      <c r="AE93" s="382"/>
      <c r="AF93" s="383" t="str" cm="1">
        <f t="array" ref="AF93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3" s="382"/>
      <c r="AH93" s="384"/>
      <c r="AI93" s="385" t="str" cm="1">
        <f t="array" ref="AI93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3" s="384"/>
      <c r="AK93" s="386"/>
      <c r="AL93" s="387" t="str" cm="1">
        <f t="array" ref="AL93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3" s="386"/>
      <c r="AN93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3" s="389">
        <f>IF(ISERR(SEARCH("UP",Tabela_SP1[[#This Row],[Umiej.prakt.]],1)),0,Tabela_SP1[[#This Row],[ects.razem]])</f>
        <v>3</v>
      </c>
      <c r="AP93" s="390">
        <f>IF(Tabela_SP1[[#This Row],[czy.ects]]="TAK",ROUND((SUM(Tabela_SP1[[#This Row],[godziny.konsultacja]],Tabela_SP1[[#This Row],[godziny.egzamin]],Tabela_SP1[[#This Row],[godziny.zajec.razem]])/25)/0.5,0)*0.5,0)</f>
        <v>1.5</v>
      </c>
      <c r="AQ93" s="391">
        <f>SUM(Tabela_SP1[[#This Row],[godziny.samoksztalcenie]],Tabela_SP1[[#This Row],[godziny.konsultacja]],Tabela_SP1[[#This Row],[godziny.egzamin]],Tabela_SP1[[#This Row],[godziny.zajec.razem]])</f>
        <v>52</v>
      </c>
      <c r="AR93" s="392">
        <f>INT(SUM(Tabela_SP1[[#This Row],[godziny.konsultacja]],Tabela_SP1[[#This Row],[godziny.egzamin]],Tabela_SP1[[#This Row],[godziny.zajec.razem]])*0.5+Tabela_SP1[[#This Row],[godziny.zajec.razem]]*(15-$G$194)/9)</f>
        <v>17</v>
      </c>
      <c r="AS93" s="393">
        <f>INT(Tabela_SP1[[#This Row],[godziny.zajec.razem]]*0.1)</f>
        <v>3</v>
      </c>
      <c r="AT93" s="394">
        <f>IF(Tabela_SP1[[#This Row],[godziny.zajec.razem]]&gt;0,IF(Tabela_SP1[[#This Row],[godziny.zajec.razem]]&gt;=45,4,2),0)</f>
        <v>2</v>
      </c>
      <c r="AU93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3" s="396">
        <f>IF(Tabela_SP1[[#This Row],[ects.bezposr.nauczyciel]],Tabela_SP1[[#This Row],[ects.bezposr.nauczyciel]]/Tabela_SP1[[#This Row],[ects.razem]],0)</f>
        <v>0.5</v>
      </c>
      <c r="AW93" s="49"/>
    </row>
    <row r="94" spans="1:49" ht="25.5" customHeight="1" x14ac:dyDescent="0.3">
      <c r="A94" s="207"/>
      <c r="B94" s="397" t="s">
        <v>490</v>
      </c>
      <c r="C94" s="398" t="s">
        <v>486</v>
      </c>
      <c r="D94" s="362" t="s">
        <v>546</v>
      </c>
      <c r="E94" s="362" t="s">
        <v>604</v>
      </c>
      <c r="F94" s="399" t="s">
        <v>547</v>
      </c>
      <c r="G94" s="365"/>
      <c r="H94" s="366" t="s">
        <v>31</v>
      </c>
      <c r="I94" s="367" t="s">
        <v>32</v>
      </c>
      <c r="J94" s="368"/>
      <c r="K94" s="369" t="str" cm="1">
        <f t="array" ref="K94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4" s="368"/>
      <c r="M94" s="370"/>
      <c r="N94" s="371" t="str" cm="1">
        <f t="array" ref="N94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4" s="370"/>
      <c r="P94" s="372"/>
      <c r="Q94" s="373" t="str" cm="1">
        <f t="array" ref="Q94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4" s="372"/>
      <c r="S94" s="374"/>
      <c r="T94" s="375" t="str" cm="1">
        <f t="array" ref="T94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4" s="374"/>
      <c r="V94" s="673">
        <v>30</v>
      </c>
      <c r="W94" s="445">
        <v>3</v>
      </c>
      <c r="X94" s="673" t="s">
        <v>33</v>
      </c>
      <c r="Y94" s="674"/>
      <c r="Z94" s="446" t="str" cm="1">
        <f t="array" ref="Z94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94" s="674"/>
      <c r="AB94" s="380"/>
      <c r="AC94" s="381" t="str" cm="1">
        <f t="array" ref="AC94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4" s="380"/>
      <c r="AE94" s="382"/>
      <c r="AF94" s="383" t="str" cm="1">
        <f t="array" ref="AF94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4" s="382"/>
      <c r="AH94" s="384"/>
      <c r="AI94" s="385" t="str" cm="1">
        <f t="array" ref="AI94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4" s="384"/>
      <c r="AK94" s="386"/>
      <c r="AL94" s="387" t="str" cm="1">
        <f t="array" ref="AL94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4" s="386"/>
      <c r="AN94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4" s="389">
        <f>IF(ISERR(SEARCH("UP",Tabela_SP1[[#This Row],[Umiej.prakt.]],1)),0,Tabela_SP1[[#This Row],[ects.razem]])</f>
        <v>3</v>
      </c>
      <c r="AP94" s="390">
        <f>IF(Tabela_SP1[[#This Row],[czy.ects]]="TAK",ROUND((SUM(Tabela_SP1[[#This Row],[godziny.konsultacja]],Tabela_SP1[[#This Row],[godziny.egzamin]],Tabela_SP1[[#This Row],[godziny.zajec.razem]])/25)/0.5,0)*0.5,0)</f>
        <v>1.5</v>
      </c>
      <c r="AQ94" s="391">
        <f>SUM(Tabela_SP1[[#This Row],[godziny.samoksztalcenie]],Tabela_SP1[[#This Row],[godziny.konsultacja]],Tabela_SP1[[#This Row],[godziny.egzamin]],Tabela_SP1[[#This Row],[godziny.zajec.razem]])</f>
        <v>52</v>
      </c>
      <c r="AR94" s="392">
        <f>INT(SUM(Tabela_SP1[[#This Row],[godziny.konsultacja]],Tabela_SP1[[#This Row],[godziny.egzamin]],Tabela_SP1[[#This Row],[godziny.zajec.razem]])*0.5+Tabela_SP1[[#This Row],[godziny.zajec.razem]]*(15-$G$194)/9)</f>
        <v>17</v>
      </c>
      <c r="AS94" s="393">
        <f>INT(Tabela_SP1[[#This Row],[godziny.zajec.razem]]*0.1)</f>
        <v>3</v>
      </c>
      <c r="AT94" s="394">
        <f>IF(Tabela_SP1[[#This Row],[godziny.zajec.razem]]&gt;0,IF(Tabela_SP1[[#This Row],[godziny.zajec.razem]]&gt;=45,4,2),0)</f>
        <v>2</v>
      </c>
      <c r="AU94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4" s="396">
        <f>IF(Tabela_SP1[[#This Row],[ects.bezposr.nauczyciel]],Tabela_SP1[[#This Row],[ects.bezposr.nauczyciel]]/Tabela_SP1[[#This Row],[ects.razem]],0)</f>
        <v>0.5</v>
      </c>
      <c r="AW94" s="49"/>
    </row>
    <row r="95" spans="1:49" ht="25.5" customHeight="1" x14ac:dyDescent="0.3">
      <c r="A95" s="207"/>
      <c r="B95" s="397" t="s">
        <v>490</v>
      </c>
      <c r="C95" s="398" t="s">
        <v>486</v>
      </c>
      <c r="D95" s="362" t="s">
        <v>548</v>
      </c>
      <c r="E95" s="362" t="s">
        <v>604</v>
      </c>
      <c r="F95" s="399" t="s">
        <v>549</v>
      </c>
      <c r="G95" s="365"/>
      <c r="H95" s="366" t="s">
        <v>39</v>
      </c>
      <c r="I95" s="367" t="s">
        <v>32</v>
      </c>
      <c r="J95" s="368"/>
      <c r="K95" s="369" t="str" cm="1">
        <f t="array" ref="K95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5" s="368"/>
      <c r="M95" s="370"/>
      <c r="N95" s="371" t="str" cm="1">
        <f t="array" ref="N95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5" s="370"/>
      <c r="P95" s="372"/>
      <c r="Q95" s="373" t="str" cm="1">
        <f t="array" ref="Q95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5" s="372"/>
      <c r="S95" s="374"/>
      <c r="T95" s="375" t="str" cm="1">
        <f t="array" ref="T95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5" s="374"/>
      <c r="V95" s="673"/>
      <c r="W95" s="445" t="str" cm="1">
        <f t="array" ref="W95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95" s="673"/>
      <c r="Y95" s="674">
        <v>30</v>
      </c>
      <c r="Z95" s="446">
        <v>3</v>
      </c>
      <c r="AA95" s="674" t="s">
        <v>33</v>
      </c>
      <c r="AB95" s="380"/>
      <c r="AC95" s="381" t="str" cm="1">
        <f t="array" ref="AC95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5" s="380"/>
      <c r="AE95" s="382"/>
      <c r="AF95" s="383" t="str" cm="1">
        <f t="array" ref="AF95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5" s="382"/>
      <c r="AH95" s="384"/>
      <c r="AI95" s="385" t="str" cm="1">
        <f t="array" ref="AI95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5" s="384"/>
      <c r="AK95" s="386"/>
      <c r="AL95" s="387" t="str" cm="1">
        <f t="array" ref="AL95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5" s="386"/>
      <c r="AN95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5" s="389">
        <f>IF(ISERR(SEARCH("UP",Tabela_SP1[[#This Row],[Umiej.prakt.]],1)),0,Tabela_SP1[[#This Row],[ects.razem]])</f>
        <v>3</v>
      </c>
      <c r="AP95" s="390">
        <f>IF(Tabela_SP1[[#This Row],[czy.ects]]="TAK",ROUND((SUM(Tabela_SP1[[#This Row],[godziny.konsultacja]],Tabela_SP1[[#This Row],[godziny.egzamin]],Tabela_SP1[[#This Row],[godziny.zajec.razem]])/25)/0.5,0)*0.5,0)</f>
        <v>1.5</v>
      </c>
      <c r="AQ95" s="391">
        <f>SUM(Tabela_SP1[[#This Row],[godziny.samoksztalcenie]],Tabela_SP1[[#This Row],[godziny.konsultacja]],Tabela_SP1[[#This Row],[godziny.egzamin]],Tabela_SP1[[#This Row],[godziny.zajec.razem]])</f>
        <v>52</v>
      </c>
      <c r="AR95" s="392">
        <f>INT(SUM(Tabela_SP1[[#This Row],[godziny.konsultacja]],Tabela_SP1[[#This Row],[godziny.egzamin]],Tabela_SP1[[#This Row],[godziny.zajec.razem]])*0.5+Tabela_SP1[[#This Row],[godziny.zajec.razem]]*(15-$G$194)/9)</f>
        <v>17</v>
      </c>
      <c r="AS95" s="393">
        <f>INT(Tabela_SP1[[#This Row],[godziny.zajec.razem]]*0.1)</f>
        <v>3</v>
      </c>
      <c r="AT95" s="394">
        <f>IF(Tabela_SP1[[#This Row],[godziny.zajec.razem]]&gt;0,IF(Tabela_SP1[[#This Row],[godziny.zajec.razem]]&gt;=45,4,2),0)</f>
        <v>2</v>
      </c>
      <c r="AU95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5" s="396">
        <f>IF(Tabela_SP1[[#This Row],[ects.bezposr.nauczyciel]],Tabela_SP1[[#This Row],[ects.bezposr.nauczyciel]]/Tabela_SP1[[#This Row],[ects.razem]],0)</f>
        <v>0.5</v>
      </c>
      <c r="AW95" s="49"/>
    </row>
    <row r="96" spans="1:49" ht="25.5" customHeight="1" x14ac:dyDescent="0.3">
      <c r="A96" s="207"/>
      <c r="B96" s="397" t="s">
        <v>490</v>
      </c>
      <c r="C96" s="398" t="s">
        <v>486</v>
      </c>
      <c r="D96" s="362" t="s">
        <v>550</v>
      </c>
      <c r="E96" s="362" t="s">
        <v>604</v>
      </c>
      <c r="F96" s="399" t="s">
        <v>552</v>
      </c>
      <c r="G96" s="365"/>
      <c r="H96" s="366" t="s">
        <v>37</v>
      </c>
      <c r="I96" s="367" t="s">
        <v>32</v>
      </c>
      <c r="J96" s="368"/>
      <c r="K96" s="369" t="str" cm="1">
        <f t="array" ref="K96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6" s="368"/>
      <c r="M96" s="370"/>
      <c r="N96" s="371" t="str" cm="1">
        <f t="array" ref="N96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6" s="370"/>
      <c r="P96" s="372"/>
      <c r="Q96" s="373" t="str" cm="1">
        <f t="array" ref="Q96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6" s="372"/>
      <c r="S96" s="374"/>
      <c r="T96" s="375" t="str" cm="1">
        <f t="array" ref="T96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6" s="374"/>
      <c r="V96" s="673"/>
      <c r="W96" s="445" t="str" cm="1">
        <f t="array" ref="W96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96" s="673"/>
      <c r="Y96" s="674">
        <v>15</v>
      </c>
      <c r="Z96" s="446" cm="1">
        <f t="array" ref="Z96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>1</v>
      </c>
      <c r="AA96" s="674" t="s">
        <v>33</v>
      </c>
      <c r="AB96" s="380"/>
      <c r="AC96" s="381" t="str" cm="1">
        <f t="array" ref="AC96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6" s="380"/>
      <c r="AE96" s="382"/>
      <c r="AF96" s="383" t="str" cm="1">
        <f t="array" ref="AF96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6" s="382"/>
      <c r="AH96" s="384"/>
      <c r="AI96" s="385" t="str" cm="1">
        <f t="array" ref="AI96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6" s="384"/>
      <c r="AK96" s="386"/>
      <c r="AL96" s="387" t="str" cm="1">
        <f t="array" ref="AL96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6" s="386"/>
      <c r="AN96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1</v>
      </c>
      <c r="AO96" s="389">
        <f>IF(ISERR(SEARCH("UP",Tabela_SP1[[#This Row],[Umiej.prakt.]],1)),0,Tabela_SP1[[#This Row],[ects.razem]])</f>
        <v>1</v>
      </c>
      <c r="AP96" s="390">
        <f>IF(Tabela_SP1[[#This Row],[czy.ects]]="TAK",ROUND((SUM(Tabela_SP1[[#This Row],[godziny.konsultacja]],Tabela_SP1[[#This Row],[godziny.egzamin]],Tabela_SP1[[#This Row],[godziny.zajec.razem]])/25)/0.5,0)*0.5,0)</f>
        <v>0.5</v>
      </c>
      <c r="AQ96" s="391">
        <f>SUM(Tabela_SP1[[#This Row],[godziny.samoksztalcenie]],Tabela_SP1[[#This Row],[godziny.konsultacja]],Tabela_SP1[[#This Row],[godziny.egzamin]],Tabela_SP1[[#This Row],[godziny.zajec.razem]])</f>
        <v>27</v>
      </c>
      <c r="AR96" s="392">
        <f>INT(SUM(Tabela_SP1[[#This Row],[godziny.konsultacja]],Tabela_SP1[[#This Row],[godziny.egzamin]],Tabela_SP1[[#This Row],[godziny.zajec.razem]])*0.5+Tabela_SP1[[#This Row],[godziny.zajec.razem]]*(15-$G$194)/9)</f>
        <v>9</v>
      </c>
      <c r="AS96" s="393">
        <f>INT(Tabela_SP1[[#This Row],[godziny.zajec.razem]]*0.1)</f>
        <v>1</v>
      </c>
      <c r="AT96" s="394">
        <f>IF(Tabela_SP1[[#This Row],[godziny.zajec.razem]]&gt;0,IF(Tabela_SP1[[#This Row],[godziny.zajec.razem]]&gt;=45,4,2),0)</f>
        <v>2</v>
      </c>
      <c r="AU96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15</v>
      </c>
      <c r="AV96" s="396">
        <f>IF(Tabela_SP1[[#This Row],[ects.bezposr.nauczyciel]],Tabela_SP1[[#This Row],[ects.bezposr.nauczyciel]]/Tabela_SP1[[#This Row],[ects.razem]],0)</f>
        <v>0.5</v>
      </c>
      <c r="AW96" s="49"/>
    </row>
    <row r="97" spans="1:49" ht="25.5" customHeight="1" x14ac:dyDescent="0.3">
      <c r="A97" s="207"/>
      <c r="B97" s="397" t="s">
        <v>490</v>
      </c>
      <c r="C97" s="398" t="s">
        <v>486</v>
      </c>
      <c r="D97" s="362" t="s">
        <v>551</v>
      </c>
      <c r="E97" s="362" t="s">
        <v>604</v>
      </c>
      <c r="F97" s="399" t="s">
        <v>552</v>
      </c>
      <c r="G97" s="365"/>
      <c r="H97" s="366" t="s">
        <v>31</v>
      </c>
      <c r="I97" s="367" t="s">
        <v>32</v>
      </c>
      <c r="J97" s="368"/>
      <c r="K97" s="369" t="str" cm="1">
        <f t="array" ref="K97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7" s="368"/>
      <c r="M97" s="370"/>
      <c r="N97" s="371" t="str" cm="1">
        <f t="array" ref="N97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7" s="370"/>
      <c r="P97" s="372"/>
      <c r="Q97" s="373" t="str" cm="1">
        <f t="array" ref="Q97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7" s="372"/>
      <c r="S97" s="374"/>
      <c r="T97" s="375" t="str" cm="1">
        <f t="array" ref="T97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7" s="374"/>
      <c r="V97" s="673"/>
      <c r="W97" s="445" t="str" cm="1">
        <f t="array" ref="W97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97" s="673"/>
      <c r="Y97" s="674">
        <v>30</v>
      </c>
      <c r="Z97" s="446">
        <v>3</v>
      </c>
      <c r="AA97" s="674" t="s">
        <v>33</v>
      </c>
      <c r="AB97" s="380"/>
      <c r="AC97" s="381" t="str" cm="1">
        <f t="array" ref="AC97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7" s="380"/>
      <c r="AE97" s="382"/>
      <c r="AF97" s="383" t="str" cm="1">
        <f t="array" ref="AF97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7" s="382"/>
      <c r="AH97" s="384"/>
      <c r="AI97" s="385" t="str" cm="1">
        <f t="array" ref="AI97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7" s="384"/>
      <c r="AK97" s="386"/>
      <c r="AL97" s="387" t="str" cm="1">
        <f t="array" ref="AL97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7" s="386"/>
      <c r="AN97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7" s="389">
        <f>IF(ISERR(SEARCH("UP",Tabela_SP1[[#This Row],[Umiej.prakt.]],1)),0,Tabela_SP1[[#This Row],[ects.razem]])</f>
        <v>3</v>
      </c>
      <c r="AP97" s="390">
        <f>IF(Tabela_SP1[[#This Row],[czy.ects]]="TAK",ROUND((SUM(Tabela_SP1[[#This Row],[godziny.konsultacja]],Tabela_SP1[[#This Row],[godziny.egzamin]],Tabela_SP1[[#This Row],[godziny.zajec.razem]])/25)/0.5,0)*0.5,0)</f>
        <v>1.5</v>
      </c>
      <c r="AQ97" s="391">
        <f>SUM(Tabela_SP1[[#This Row],[godziny.samoksztalcenie]],Tabela_SP1[[#This Row],[godziny.konsultacja]],Tabela_SP1[[#This Row],[godziny.egzamin]],Tabela_SP1[[#This Row],[godziny.zajec.razem]])</f>
        <v>52</v>
      </c>
      <c r="AR97" s="392">
        <f>INT(SUM(Tabela_SP1[[#This Row],[godziny.konsultacja]],Tabela_SP1[[#This Row],[godziny.egzamin]],Tabela_SP1[[#This Row],[godziny.zajec.razem]])*0.5+Tabela_SP1[[#This Row],[godziny.zajec.razem]]*(15-$G$194)/9)</f>
        <v>17</v>
      </c>
      <c r="AS97" s="393">
        <f>INT(Tabela_SP1[[#This Row],[godziny.zajec.razem]]*0.1)</f>
        <v>3</v>
      </c>
      <c r="AT97" s="394">
        <f>IF(Tabela_SP1[[#This Row],[godziny.zajec.razem]]&gt;0,IF(Tabela_SP1[[#This Row],[godziny.zajec.razem]]&gt;=45,4,2),0)</f>
        <v>2</v>
      </c>
      <c r="AU97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7" s="396">
        <f>IF(Tabela_SP1[[#This Row],[ects.bezposr.nauczyciel]],Tabela_SP1[[#This Row],[ects.bezposr.nauczyciel]]/Tabela_SP1[[#This Row],[ects.razem]],0)</f>
        <v>0.5</v>
      </c>
      <c r="AW97" s="49"/>
    </row>
    <row r="98" spans="1:49" ht="25.5" customHeight="1" x14ac:dyDescent="0.3">
      <c r="A98" s="207"/>
      <c r="B98" s="397" t="s">
        <v>490</v>
      </c>
      <c r="C98" s="398" t="s">
        <v>486</v>
      </c>
      <c r="D98" s="362" t="s">
        <v>553</v>
      </c>
      <c r="E98" s="362" t="s">
        <v>604</v>
      </c>
      <c r="F98" s="399" t="s">
        <v>554</v>
      </c>
      <c r="G98" s="365"/>
      <c r="H98" s="366" t="s">
        <v>39</v>
      </c>
      <c r="I98" s="367" t="s">
        <v>32</v>
      </c>
      <c r="J98" s="368"/>
      <c r="K98" s="369" t="str" cm="1">
        <f t="array" ref="K98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8" s="368"/>
      <c r="M98" s="370"/>
      <c r="N98" s="371" t="str" cm="1">
        <f t="array" ref="N98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8" s="370"/>
      <c r="P98" s="372"/>
      <c r="Q98" s="373" t="str" cm="1">
        <f t="array" ref="Q98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8" s="372"/>
      <c r="S98" s="374"/>
      <c r="T98" s="375" t="str" cm="1">
        <f t="array" ref="T98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8" s="374"/>
      <c r="V98" s="673"/>
      <c r="W98" s="445" t="str" cm="1">
        <f t="array" ref="W98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98" s="673"/>
      <c r="Y98" s="674">
        <v>30</v>
      </c>
      <c r="Z98" s="446">
        <v>3</v>
      </c>
      <c r="AA98" s="674" t="s">
        <v>33</v>
      </c>
      <c r="AB98" s="380"/>
      <c r="AC98" s="381" t="str" cm="1">
        <f t="array" ref="AC98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8" s="380"/>
      <c r="AE98" s="382"/>
      <c r="AF98" s="383" t="str" cm="1">
        <f t="array" ref="AF98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8" s="382"/>
      <c r="AH98" s="384"/>
      <c r="AI98" s="385" t="str" cm="1">
        <f t="array" ref="AI98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8" s="384"/>
      <c r="AK98" s="386"/>
      <c r="AL98" s="387" t="str" cm="1">
        <f t="array" ref="AL98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8" s="386"/>
      <c r="AN98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3</v>
      </c>
      <c r="AO98" s="389">
        <f>IF(ISERR(SEARCH("UP",Tabela_SP1[[#This Row],[Umiej.prakt.]],1)),0,Tabela_SP1[[#This Row],[ects.razem]])</f>
        <v>3</v>
      </c>
      <c r="AP98" s="390">
        <f>IF(Tabela_SP1[[#This Row],[czy.ects]]="TAK",ROUND((SUM(Tabela_SP1[[#This Row],[godziny.konsultacja]],Tabela_SP1[[#This Row],[godziny.egzamin]],Tabela_SP1[[#This Row],[godziny.zajec.razem]])/25)/0.5,0)*0.5,0)</f>
        <v>1.5</v>
      </c>
      <c r="AQ98" s="391">
        <f>SUM(Tabela_SP1[[#This Row],[godziny.samoksztalcenie]],Tabela_SP1[[#This Row],[godziny.konsultacja]],Tabela_SP1[[#This Row],[godziny.egzamin]],Tabela_SP1[[#This Row],[godziny.zajec.razem]])</f>
        <v>52</v>
      </c>
      <c r="AR98" s="392">
        <f>INT(SUM(Tabela_SP1[[#This Row],[godziny.konsultacja]],Tabela_SP1[[#This Row],[godziny.egzamin]],Tabela_SP1[[#This Row],[godziny.zajec.razem]])*0.5+Tabela_SP1[[#This Row],[godziny.zajec.razem]]*(15-$G$194)/9)</f>
        <v>17</v>
      </c>
      <c r="AS98" s="393">
        <f>INT(Tabela_SP1[[#This Row],[godziny.zajec.razem]]*0.1)</f>
        <v>3</v>
      </c>
      <c r="AT98" s="394">
        <f>IF(Tabela_SP1[[#This Row],[godziny.zajec.razem]]&gt;0,IF(Tabela_SP1[[#This Row],[godziny.zajec.razem]]&gt;=45,4,2),0)</f>
        <v>2</v>
      </c>
      <c r="AU98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30</v>
      </c>
      <c r="AV98" s="396">
        <f>IF(Tabela_SP1[[#This Row],[ects.bezposr.nauczyciel]],Tabela_SP1[[#This Row],[ects.bezposr.nauczyciel]]/Tabela_SP1[[#This Row],[ects.razem]],0)</f>
        <v>0.5</v>
      </c>
      <c r="AW98" s="49"/>
    </row>
    <row r="99" spans="1:49" ht="25.5" customHeight="1" x14ac:dyDescent="0.3">
      <c r="A99" s="207"/>
      <c r="B99" s="397" t="s">
        <v>490</v>
      </c>
      <c r="C99" s="398" t="s">
        <v>486</v>
      </c>
      <c r="D99" s="362" t="s">
        <v>555</v>
      </c>
      <c r="E99" s="362" t="s">
        <v>604</v>
      </c>
      <c r="F99" s="399" t="s">
        <v>556</v>
      </c>
      <c r="G99" s="365"/>
      <c r="H99" s="366" t="s">
        <v>44</v>
      </c>
      <c r="I99" s="367" t="s">
        <v>32</v>
      </c>
      <c r="J99" s="368"/>
      <c r="K99" s="369" t="str" cm="1">
        <f t="array" ref="K99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99" s="368"/>
      <c r="M99" s="370"/>
      <c r="N99" s="371" t="str" cm="1">
        <f t="array" ref="N99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99" s="370"/>
      <c r="P99" s="372"/>
      <c r="Q99" s="373" t="str" cm="1">
        <f t="array" ref="Q99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99" s="372"/>
      <c r="S99" s="374"/>
      <c r="T99" s="375" t="str" cm="1">
        <f t="array" ref="T99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99" s="374"/>
      <c r="V99" s="673">
        <v>30</v>
      </c>
      <c r="W99" s="445">
        <v>3</v>
      </c>
      <c r="X99" s="673" t="s">
        <v>33</v>
      </c>
      <c r="Y99" s="674">
        <v>30</v>
      </c>
      <c r="Z99" s="446">
        <v>3</v>
      </c>
      <c r="AA99" s="674" t="s">
        <v>33</v>
      </c>
      <c r="AB99" s="380"/>
      <c r="AC99" s="381" t="str" cm="1">
        <f t="array" ref="AC99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99" s="380"/>
      <c r="AE99" s="382"/>
      <c r="AF99" s="383" t="str" cm="1">
        <f t="array" ref="AF99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99" s="382"/>
      <c r="AH99" s="384"/>
      <c r="AI99" s="385" t="str" cm="1">
        <f t="array" ref="AI99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99" s="384"/>
      <c r="AK99" s="386"/>
      <c r="AL99" s="387" t="str" cm="1">
        <f t="array" ref="AL99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99" s="386"/>
      <c r="AN99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6</v>
      </c>
      <c r="AO99" s="389">
        <f>IF(ISERR(SEARCH("UP",Tabela_SP1[[#This Row],[Umiej.prakt.]],1)),0,Tabela_SP1[[#This Row],[ects.razem]])</f>
        <v>6</v>
      </c>
      <c r="AP99" s="390">
        <f>IF(Tabela_SP1[[#This Row],[czy.ects]]="TAK",ROUND((SUM(Tabela_SP1[[#This Row],[godziny.konsultacja]],Tabela_SP1[[#This Row],[godziny.egzamin]],Tabela_SP1[[#This Row],[godziny.zajec.razem]])/25)/0.5,0)*0.5,0)</f>
        <v>3</v>
      </c>
      <c r="AQ99" s="391">
        <f>SUM(Tabela_SP1[[#This Row],[godziny.samoksztalcenie]],Tabela_SP1[[#This Row],[godziny.konsultacja]],Tabela_SP1[[#This Row],[godziny.egzamin]],Tabela_SP1[[#This Row],[godziny.zajec.razem]])</f>
        <v>105</v>
      </c>
      <c r="AR99" s="392">
        <f>INT(SUM(Tabela_SP1[[#This Row],[godziny.konsultacja]],Tabela_SP1[[#This Row],[godziny.egzamin]],Tabela_SP1[[#This Row],[godziny.zajec.razem]])*0.5+Tabela_SP1[[#This Row],[godziny.zajec.razem]]*(15-$G$194)/9)</f>
        <v>35</v>
      </c>
      <c r="AS99" s="393">
        <f>INT(Tabela_SP1[[#This Row],[godziny.zajec.razem]]*0.1)</f>
        <v>6</v>
      </c>
      <c r="AT99" s="394">
        <f>IF(Tabela_SP1[[#This Row],[godziny.zajec.razem]]&gt;0,IF(Tabela_SP1[[#This Row],[godziny.zajec.razem]]&gt;=45,4,2),0)</f>
        <v>4</v>
      </c>
      <c r="AU99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60</v>
      </c>
      <c r="AV99" s="396">
        <f>IF(Tabela_SP1[[#This Row],[ects.bezposr.nauczyciel]],Tabela_SP1[[#This Row],[ects.bezposr.nauczyciel]]/Tabela_SP1[[#This Row],[ects.razem]],0)</f>
        <v>0.5</v>
      </c>
      <c r="AW99" s="49"/>
    </row>
    <row r="100" spans="1:49" ht="25.5" customHeight="1" x14ac:dyDescent="0.3">
      <c r="A100" s="207"/>
      <c r="B100" s="397" t="s">
        <v>490</v>
      </c>
      <c r="C100" s="398" t="s">
        <v>486</v>
      </c>
      <c r="D100" s="362" t="s">
        <v>557</v>
      </c>
      <c r="E100" s="362"/>
      <c r="F100" s="399" t="s">
        <v>534</v>
      </c>
      <c r="G100" s="365"/>
      <c r="H100" s="366" t="s">
        <v>34</v>
      </c>
      <c r="I100" s="367" t="s">
        <v>367</v>
      </c>
      <c r="J100" s="368"/>
      <c r="K100" s="369" t="str" cm="1">
        <f t="array" ref="K100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100" s="368"/>
      <c r="M100" s="370"/>
      <c r="N100" s="371" t="str" cm="1">
        <f t="array" ref="N100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100" s="370"/>
      <c r="P100" s="372"/>
      <c r="Q100" s="373" t="str" cm="1">
        <f t="array" ref="Q100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100" s="372"/>
      <c r="S100" s="374">
        <v>15</v>
      </c>
      <c r="T100" s="375" t="str" cm="1">
        <f t="array" ref="T100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/>
      </c>
      <c r="U100" s="374" t="s">
        <v>48</v>
      </c>
      <c r="V100" s="673">
        <v>15</v>
      </c>
      <c r="W100" s="445" t="str" cm="1">
        <f t="array" ref="W100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/>
      </c>
      <c r="X100" s="673" t="s">
        <v>48</v>
      </c>
      <c r="Y100" s="674">
        <v>15</v>
      </c>
      <c r="Z100" s="446" t="str" cm="1">
        <f t="array" ref="Z100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/>
      </c>
      <c r="AA100" s="674" t="s">
        <v>48</v>
      </c>
      <c r="AB100" s="380"/>
      <c r="AC100" s="381" t="str" cm="1">
        <f t="array" ref="AC100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100" s="380"/>
      <c r="AE100" s="382"/>
      <c r="AF100" s="383" t="str" cm="1">
        <f t="array" ref="AF100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100" s="382"/>
      <c r="AH100" s="384"/>
      <c r="AI100" s="385" t="str" cm="1">
        <f t="array" ref="AI100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100" s="384"/>
      <c r="AK100" s="386"/>
      <c r="AL100" s="387" t="str" cm="1">
        <f t="array" ref="AL100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100" s="386"/>
      <c r="AN100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0</v>
      </c>
      <c r="AO100" s="389">
        <f>IF(ISERR(SEARCH("UP",Tabela_SP1[[#This Row],[Umiej.prakt.]],1)),0,Tabela_SP1[[#This Row],[ects.razem]])</f>
        <v>0</v>
      </c>
      <c r="AP100" s="390">
        <f>IF(Tabela_SP1[[#This Row],[czy.ects]]="TAK",ROUND((SUM(Tabela_SP1[[#This Row],[godziny.konsultacja]],Tabela_SP1[[#This Row],[godziny.egzamin]],Tabela_SP1[[#This Row],[godziny.zajec.razem]])/25)/0.5,0)*0.5,0)</f>
        <v>0</v>
      </c>
      <c r="AQ100" s="391">
        <f>SUM(Tabela_SP1[[#This Row],[godziny.samoksztalcenie]],Tabela_SP1[[#This Row],[godziny.konsultacja]],Tabela_SP1[[#This Row],[godziny.egzamin]],Tabela_SP1[[#This Row],[godziny.zajec.razem]])</f>
        <v>79</v>
      </c>
      <c r="AR100" s="392">
        <f>INT(SUM(Tabela_SP1[[#This Row],[godziny.konsultacja]],Tabela_SP1[[#This Row],[godziny.egzamin]],Tabela_SP1[[#This Row],[godziny.zajec.razem]])*0.5+Tabela_SP1[[#This Row],[godziny.zajec.razem]]*(15-$G$194)/9)</f>
        <v>26</v>
      </c>
      <c r="AS100" s="393">
        <f>INT(Tabela_SP1[[#This Row],[godziny.zajec.razem]]*0.1)</f>
        <v>4</v>
      </c>
      <c r="AT100" s="394">
        <f>IF(Tabela_SP1[[#This Row],[godziny.zajec.razem]]&gt;0,IF(Tabela_SP1[[#This Row],[godziny.zajec.razem]]&gt;=45,4,2),0)</f>
        <v>4</v>
      </c>
      <c r="AU100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45</v>
      </c>
      <c r="AV100" s="396">
        <f>IF(Tabela_SP1[[#This Row],[ects.bezposr.nauczyciel]],Tabela_SP1[[#This Row],[ects.bezposr.nauczyciel]]/Tabela_SP1[[#This Row],[ects.razem]],0)</f>
        <v>0</v>
      </c>
      <c r="AW100" s="49"/>
    </row>
    <row r="101" spans="1:49" ht="25.5" customHeight="1" x14ac:dyDescent="0.3">
      <c r="A101" s="207"/>
      <c r="B101" s="397" t="s">
        <v>490</v>
      </c>
      <c r="C101" s="398" t="s">
        <v>486</v>
      </c>
      <c r="D101" s="362" t="s">
        <v>558</v>
      </c>
      <c r="E101" s="362" t="s">
        <v>604</v>
      </c>
      <c r="F101" s="399" t="s">
        <v>611</v>
      </c>
      <c r="G101" s="365"/>
      <c r="H101" s="366" t="s">
        <v>43</v>
      </c>
      <c r="I101" s="367" t="s">
        <v>32</v>
      </c>
      <c r="J101" s="368"/>
      <c r="K101" s="369" t="str" cm="1">
        <f t="array" ref="K101">IF(Tabela_SP1[[#This Row],[czy.ects]]="TAK",_xlfn.IFS(AND(Tabela_SP1[[#This Row],[sem1.godziny]]&gt;=$Q$194,Tabela_SP1[[#This Row],[sem1.forma]]="z"),8,AND(Tabela_SP1[[#This Row],[sem1.godziny]]&gt;=$I$194,Tabela_SP1[[#This Row],[sem1.forma]]="z"),4,AND(Tabela_SP1[[#This Row],[sem1.godziny]]&gt;=$H$194,Tabela_SP1[[#This Row],[sem1.forma]]="e"),2,AND(Tabela_SP1[[#This Row],[sem1.godziny]]&lt;$H$194,Tabela_SP1[[#This Row],[sem1.forma]]="e"),1,AND(Tabela_SP1[[#This Row],[sem1.godziny]]&gt;=$H$194,Tabela_SP1[[#This Row],[sem1.forma]]="z"),2,AND(Tabela_SP1[[#This Row],[sem1.godziny]]&lt;$H$194,Tabela_SP1[[#This Row],[sem1.forma]]="z"),1,TRUE,""),"")</f>
        <v/>
      </c>
      <c r="L101" s="368"/>
      <c r="M101" s="370"/>
      <c r="N101" s="371" t="str" cm="1">
        <f t="array" ref="N101">IF(Tabela_SP1[[#This Row],[czy.ects]]="TAK",_xlfn.IFS(AND(Tabela_SP1[[#This Row],[sem2.godziny]]&gt;=$Q$194,Tabela_SP1[[#This Row],[sem2.forma]]="z"),8,AND(Tabela_SP1[[#This Row],[sem2.godziny]]&gt;=$I$194,Tabela_SP1[[#This Row],[sem2.forma]]="z"),4,AND(Tabela_SP1[[#This Row],[sem2.godziny]]&gt;=$H$194,Tabela_SP1[[#This Row],[sem2.forma]]="e"),2,AND(Tabela_SP1[[#This Row],[sem2.godziny]]&lt;$H$194,Tabela_SP1[[#This Row],[sem2.forma]]="e"),1,AND(Tabela_SP1[[#This Row],[sem2.godziny]]&gt;=$H$194,Tabela_SP1[[#This Row],[sem2.forma]]="z"),2,AND(Tabela_SP1[[#This Row],[sem2.godziny]]&lt;$H$194,Tabela_SP1[[#This Row],[sem2.forma]]="z"),1,TRUE,""),"")</f>
        <v/>
      </c>
      <c r="O101" s="370"/>
      <c r="P101" s="372"/>
      <c r="Q101" s="373" t="str" cm="1">
        <f t="array" ref="Q101">IF(Tabela_SP1[[#This Row],[czy.ects]]="TAK",_xlfn.IFS(AND(Tabela_SP1[[#This Row],[sem3.godziny]]&gt;=$Q$194,Tabela_SP1[[#This Row],[sem3.forma]]="z"),8,AND(Tabela_SP1[[#This Row],[sem3.godziny]]&gt;=$I$194,Tabela_SP1[[#This Row],[sem3.forma]]="z"),4,AND(Tabela_SP1[[#This Row],[sem3.godziny]]&gt;=$H$194,Tabela_SP1[[#This Row],[sem3.forma]]="e"),2,AND(Tabela_SP1[[#This Row],[sem3.godziny]]&lt;$H$194,Tabela_SP1[[#This Row],[sem3.forma]]="e"),1,AND(Tabela_SP1[[#This Row],[sem3.godziny]]&gt;=$H$194,Tabela_SP1[[#This Row],[sem3.forma]]="z"),2,AND(Tabela_SP1[[#This Row],[sem3.godziny]]&lt;$H$194,Tabela_SP1[[#This Row],[sem3.forma]]="z"),1,TRUE,""),"")</f>
        <v/>
      </c>
      <c r="R101" s="372"/>
      <c r="S101" s="374">
        <v>200</v>
      </c>
      <c r="T101" s="375" cm="1">
        <f t="array" ref="T101">IF(Tabela_SP1[[#This Row],[czy.ects]]="TAK",_xlfn.IFS(AND(Tabela_SP1[[#This Row],[sem4.godziny]]&gt;=$Q$194,Tabela_SP1[[#This Row],[sem4.forma]]="z"),8,AND(Tabela_SP1[[#This Row],[sem4.godziny]]&gt;=$I$194,Tabela_SP1[[#This Row],[sem4.forma]]="z"),4,AND(Tabela_SP1[[#This Row],[sem4.godziny]]&gt;=$H$194,Tabela_SP1[[#This Row],[sem4.forma]]="e"),2,AND(Tabela_SP1[[#This Row],[sem4.godziny]]&lt;$H$194,Tabela_SP1[[#This Row],[sem4.forma]]="e"),1,AND(Tabela_SP1[[#This Row],[sem4.godziny]]&gt;=$H$194,Tabela_SP1[[#This Row],[sem4.forma]]="z"),2,AND(Tabela_SP1[[#This Row],[sem4.godziny]]&lt;$H$194,Tabela_SP1[[#This Row],[sem4.forma]]="z"),1,TRUE,""),"")</f>
        <v>8</v>
      </c>
      <c r="U101" s="374" t="s">
        <v>33</v>
      </c>
      <c r="V101" s="673">
        <v>200</v>
      </c>
      <c r="W101" s="445" cm="1">
        <f t="array" ref="W101">IF(Tabela_SP1[[#This Row],[czy.ects]]="TAK",_xlfn.IFS(AND(Tabela_SP1[[#This Row],[sem5.godziny]]&gt;=$Q$194,Tabela_SP1[[#This Row],[sem5.forma]]="z"),8,AND(Tabela_SP1[[#This Row],[sem5.godziny]]&gt;=$I$194,Tabela_SP1[[#This Row],[sem5.forma]]="z"),4,AND(Tabela_SP1[[#This Row],[sem5.godziny]]&gt;=$H$194,Tabela_SP1[[#This Row],[sem5.forma]]="e"),2,AND(Tabela_SP1[[#This Row],[sem5.godziny]]&lt;$H$194,Tabela_SP1[[#This Row],[sem5.forma]]="e"),1,AND(Tabela_SP1[[#This Row],[sem5.godziny]]&gt;=$H$194,Tabela_SP1[[#This Row],[sem5.forma]]="z"),2,AND(Tabela_SP1[[#This Row],[sem5.godziny]]&lt;$H$194,Tabela_SP1[[#This Row],[sem5.forma]]="z"),1,TRUE,""),"")</f>
        <v>8</v>
      </c>
      <c r="X101" s="673" t="s">
        <v>33</v>
      </c>
      <c r="Y101" s="674">
        <v>208</v>
      </c>
      <c r="Z101" s="446" cm="1">
        <f t="array" ref="Z101">IF(Tabela_SP1[[#This Row],[czy.ects]]="TAK",_xlfn.IFS(AND(Tabela_SP1[[#This Row],[sem6.godziny]]&gt;=$Q$194,Tabela_SP1[[#This Row],[sem6.forma]]="z"),8,AND(Tabela_SP1[[#This Row],[sem6.godziny]]&gt;=$I$194,Tabela_SP1[[#This Row],[sem6.forma]]="z"),4,AND(Tabela_SP1[[#This Row],[sem6.godziny]]&gt;=$H$194,Tabela_SP1[[#This Row],[sem6.forma]]="e"),2,AND(Tabela_SP1[[#This Row],[sem6.godziny]]&lt;$H$194,Tabela_SP1[[#This Row],[sem6.forma]]="e"),1,AND(Tabela_SP1[[#This Row],[sem6.godziny]]&gt;=$H$194,Tabela_SP1[[#This Row],[sem6.forma]]="z"),2,AND(Tabela_SP1[[#This Row],[sem6.godziny]]&lt;$H$194,Tabela_SP1[[#This Row],[sem6.forma]]="z"),1,TRUE,""),"")</f>
        <v>8</v>
      </c>
      <c r="AA101" s="674" t="s">
        <v>33</v>
      </c>
      <c r="AB101" s="380"/>
      <c r="AC101" s="381" t="str" cm="1">
        <f t="array" ref="AC101">IF(Tabela_SP1[[#This Row],[czy.ects]]="TAK",_xlfn.IFS(AND(Tabela_SP1[[#This Row],[sem7.godziny]]&gt;=$Q$194,Tabela_SP1[[#This Row],[sem7.forma]]="z"),8,AND(Tabela_SP1[[#This Row],[sem7.godziny]]&gt;=$I$194,Tabela_SP1[[#This Row],[sem7.forma]]="z"),4,AND(Tabela_SP1[[#This Row],[sem7.godziny]]&gt;=$H$194,Tabela_SP1[[#This Row],[sem7.forma]]="e"),2,AND(Tabela_SP1[[#This Row],[sem7.godziny]]&lt;$H$194,Tabela_SP1[[#This Row],[sem7.forma]]="e"),1,AND(Tabela_SP1[[#This Row],[sem7.godziny]]&gt;=$H$194,Tabela_SP1[[#This Row],[sem7.forma]]="z"),2,AND(Tabela_SP1[[#This Row],[sem7.godziny]]&lt;$H$194,Tabela_SP1[[#This Row],[sem7.forma]]="z"),1,TRUE,""),"")</f>
        <v/>
      </c>
      <c r="AD101" s="380"/>
      <c r="AE101" s="382"/>
      <c r="AF101" s="383" t="str" cm="1">
        <f t="array" ref="AF101">IF(Tabela_SP1[[#This Row],[czy.ects]]="TAK",_xlfn.IFS(AND(Tabela_SP1[[#This Row],[sem8.godziny]]&gt;=$Q$194,Tabela_SP1[[#This Row],[sem8.forma]]="z"),8,AND(Tabela_SP1[[#This Row],[sem8.godziny]]&gt;=$I$194,Tabela_SP1[[#This Row],[sem8.forma]]="z"),4,AND(Tabela_SP1[[#This Row],[sem8.godziny]]&gt;=$H$194,Tabela_SP1[[#This Row],[sem8.forma]]="e"),2,AND(Tabela_SP1[[#This Row],[sem8.godziny]]&lt;$H$194,Tabela_SP1[[#This Row],[sem8.forma]]="e"),1,AND(Tabela_SP1[[#This Row],[sem8.godziny]]&gt;=$H$194,Tabela_SP1[[#This Row],[sem8.forma]]="z"),2,AND(Tabela_SP1[[#This Row],[sem8.godziny]]&lt;$H$194,Tabela_SP1[[#This Row],[sem8.forma]]="z"),1,TRUE,""),"")</f>
        <v/>
      </c>
      <c r="AG101" s="382"/>
      <c r="AH101" s="384"/>
      <c r="AI101" s="385" t="str" cm="1">
        <f t="array" ref="AI101">IF(Tabela_SP1[[#This Row],[czy.ects]]="TAK",_xlfn.IFS(AND(Tabela_SP1[[#This Row],[sem9.godziny]]&gt;=$Q$194,Tabela_SP1[[#This Row],[sem9.forma]]="z"),8,AND(Tabela_SP1[[#This Row],[sem9.godziny]]&gt;=$I$194,Tabela_SP1[[#This Row],[sem9.forma]]="z"),4,AND(Tabela_SP1[[#This Row],[sem9.godziny]]&gt;=$H$194,Tabela_SP1[[#This Row],[sem9.forma]]="e"),2,AND(Tabela_SP1[[#This Row],[sem9.godziny]]&lt;$H$194,Tabela_SP1[[#This Row],[sem9.forma]]="e"),1,AND(Tabela_SP1[[#This Row],[sem9.godziny]]&gt;=$H$194,Tabela_SP1[[#This Row],[sem9.forma]]="z"),2,AND(Tabela_SP1[[#This Row],[sem9.godziny]]&lt;$H$194,Tabela_SP1[[#This Row],[sem9.forma]]="z"),1,TRUE,""),"")</f>
        <v/>
      </c>
      <c r="AJ101" s="384"/>
      <c r="AK101" s="386"/>
      <c r="AL101" s="387" t="str" cm="1">
        <f t="array" ref="AL101">IF(Tabela_SP1[[#This Row],[czy.ects]]="TAK",_xlfn.IFS(AND(Tabela_SP1[[#This Row],[sem10.godziny]]&gt;=$Q$194,Tabela_SP1[[#This Row],[sem10.forma]]="z"),8,AND(Tabela_SP1[[#This Row],[sem10.godziny]]&gt;=$I$194,Tabela_SP1[[#This Row],[sem10.forma]]="z"),4,AND(Tabela_SP1[[#This Row],[sem10.godziny]]&gt;=$H$194,Tabela_SP1[[#This Row],[sem10.forma]]="e"),2,AND(Tabela_SP1[[#This Row],[sem10.godziny]]&lt;$H$194,Tabela_SP1[[#This Row],[sem10.forma]]="e"),1,AND(Tabela_SP1[[#This Row],[sem10.godziny]]&gt;=$H$194,Tabela_SP1[[#This Row],[sem10.forma]]="z"),2,AND(Tabela_SP1[[#This Row],[sem10.godziny]]&lt;$H$194,Tabela_SP1[[#This Row],[sem10.forma]]="z"),1,TRUE,""),"")</f>
        <v/>
      </c>
      <c r="AM101" s="386"/>
      <c r="AN101" s="388">
        <f>SUM(Tabela_SP1[[#This Row],[sem1.ects]],Tabela_SP1[[#This Row],[sem2.ects]],Tabela_SP1[[#This Row],[sem3.ects]],Tabela_SP1[[#This Row],[sem4.ects]],Tabela_SP1[[#This Row],[sem5.ects]],Tabela_SP1[[#This Row],[sem6.ects]],Tabela_SP1[[#This Row],[sem7.ects]],Tabela_SP1[[#This Row],[sem8.ects]],Tabela_SP1[[#This Row],[sem9.ects]],Tabela_SP1[[#This Row],[sem10.ects]])</f>
        <v>24</v>
      </c>
      <c r="AO101" s="389">
        <f>IF(ISERR(SEARCH("UP",Tabela_SP1[[#This Row],[Umiej.prakt.]],1)),0,Tabela_SP1[[#This Row],[ects.razem]])</f>
        <v>24</v>
      </c>
      <c r="AP101" s="390">
        <f>IF(Tabela_SP1[[#This Row],[czy.ects]]="TAK",ROUND((SUM(Tabela_SP1[[#This Row],[godziny.konsultacja]],Tabela_SP1[[#This Row],[godziny.egzamin]],Tabela_SP1[[#This Row],[godziny.zajec.razem]])/25)/0.5,0)*0.5,0)</f>
        <v>27</v>
      </c>
      <c r="AQ101" s="391">
        <f>SUM(Tabela_SP1[[#This Row],[godziny.samoksztalcenie]],Tabela_SP1[[#This Row],[godziny.konsultacja]],Tabela_SP1[[#This Row],[godziny.egzamin]],Tabela_SP1[[#This Row],[godziny.zajec.razem]])</f>
        <v>1008</v>
      </c>
      <c r="AR101" s="392">
        <f>INT(SUM(Tabela_SP1[[#This Row],[godziny.konsultacja]],Tabela_SP1[[#This Row],[godziny.egzamin]],Tabela_SP1[[#This Row],[godziny.zajec.razem]])*0.5+Tabela_SP1[[#This Row],[godziny.zajec.razem]]*(15-$G$194)/9)</f>
        <v>336</v>
      </c>
      <c r="AS101" s="393">
        <f>INT(Tabela_SP1[[#This Row],[godziny.zajec.razem]]*0.1)</f>
        <v>60</v>
      </c>
      <c r="AT101" s="394">
        <f>IF(Tabela_SP1[[#This Row],[godziny.zajec.razem]]&gt;0,IF(Tabela_SP1[[#This Row],[godziny.zajec.razem]]&gt;=45,4,2),0)</f>
        <v>4</v>
      </c>
      <c r="AU101" s="395">
        <f>SUM(Tabela_SP1[[#This Row],[sem1.godziny]],Tabela_SP1[[#This Row],[sem2.godziny]],Tabela_SP1[[#This Row],[sem3.godziny]],Tabela_SP1[[#This Row],[sem4.godziny]],Tabela_SP1[[#This Row],[sem5.godziny]],Tabela_SP1[[#This Row],[sem6.godziny]],Tabela_SP1[[#This Row],[sem7.godziny]],Tabela_SP1[[#This Row],[sem8.godziny]],Tabela_SP1[[#This Row],[sem9.godziny]],Tabela_SP1[[#This Row],[sem10.godziny]])</f>
        <v>608</v>
      </c>
      <c r="AV101" s="396">
        <f>IF(Tabela_SP1[[#This Row],[ects.bezposr.nauczyciel]],Tabela_SP1[[#This Row],[ects.bezposr.nauczyciel]]/Tabela_SP1[[#This Row],[ects.razem]],0)</f>
        <v>1.125</v>
      </c>
      <c r="AW101" s="49"/>
    </row>
    <row r="102" spans="1:49" ht="7.5" customHeight="1" thickBot="1" x14ac:dyDescent="0.35">
      <c r="A102" s="207"/>
      <c r="B102" s="642"/>
      <c r="C102" s="643"/>
      <c r="D102" s="644"/>
      <c r="E102" s="645"/>
      <c r="F102" s="646"/>
      <c r="G102" s="647"/>
      <c r="H102" s="648"/>
      <c r="I102" s="649"/>
      <c r="J102" s="650"/>
      <c r="K102" s="650"/>
      <c r="L102" s="651"/>
      <c r="M102" s="652"/>
      <c r="N102" s="652"/>
      <c r="O102" s="652"/>
      <c r="P102" s="653"/>
      <c r="Q102" s="654"/>
      <c r="R102" s="653"/>
      <c r="S102" s="655"/>
      <c r="T102" s="656"/>
      <c r="U102" s="656"/>
      <c r="V102" s="657"/>
      <c r="W102" s="657"/>
      <c r="X102" s="657"/>
      <c r="Y102" s="658"/>
      <c r="Z102" s="658"/>
      <c r="AA102" s="658"/>
      <c r="AB102" s="659"/>
      <c r="AC102" s="659"/>
      <c r="AD102" s="659"/>
      <c r="AE102" s="660"/>
      <c r="AF102" s="661"/>
      <c r="AG102" s="662"/>
      <c r="AH102" s="663"/>
      <c r="AI102" s="664"/>
      <c r="AJ102" s="665"/>
      <c r="AK102" s="651"/>
      <c r="AL102" s="666"/>
      <c r="AM102" s="667"/>
      <c r="AN102" s="520"/>
      <c r="AO102" s="521"/>
      <c r="AP102" s="521"/>
      <c r="AQ102" s="521"/>
      <c r="AR102" s="521"/>
      <c r="AS102" s="521"/>
      <c r="AT102" s="521"/>
      <c r="AU102" s="521"/>
      <c r="AV102" s="521"/>
      <c r="AW102" s="207"/>
    </row>
    <row r="103" spans="1:49" ht="25.5" customHeight="1" thickBot="1" x14ac:dyDescent="0.35">
      <c r="A103" s="207"/>
      <c r="B103" s="762" t="s">
        <v>559</v>
      </c>
      <c r="C103" s="763"/>
      <c r="D103" s="763"/>
      <c r="E103" s="763"/>
      <c r="F103" s="763"/>
      <c r="G103" s="763"/>
      <c r="H103" s="763"/>
      <c r="I103" s="763"/>
      <c r="J103" s="464">
        <f>SUM(Tabela_SP2[sem1.godziny])</f>
        <v>0</v>
      </c>
      <c r="K103" s="464">
        <f>SUM(Tabela_SP2[sem1.ects])</f>
        <v>0</v>
      </c>
      <c r="L103" s="464"/>
      <c r="M103" s="464">
        <f>SUM(Tabela_SP2[sem2.godziny])</f>
        <v>0</v>
      </c>
      <c r="N103" s="464">
        <f>SUM(Tabela_SP2[sem2.ects])</f>
        <v>0</v>
      </c>
      <c r="O103" s="464"/>
      <c r="P103" s="464">
        <f>SUM(Tabela_SP2[sem3.godziny])</f>
        <v>0</v>
      </c>
      <c r="Q103" s="464">
        <f>SUM(Tabela_SP2[sem3.ects])</f>
        <v>0</v>
      </c>
      <c r="R103" s="464"/>
      <c r="S103" s="464">
        <f>SUM(Tabela_SP2[sem4.godziny])</f>
        <v>290</v>
      </c>
      <c r="T103" s="464">
        <f>SUM(Tabela_SP2[sem4.ects])</f>
        <v>15</v>
      </c>
      <c r="U103" s="464"/>
      <c r="V103" s="464">
        <f>SUM(Tabela_SP2[sem5.godziny])</f>
        <v>350</v>
      </c>
      <c r="W103" s="464">
        <f>SUM(Tabela_SP2[sem5.ects])</f>
        <v>20</v>
      </c>
      <c r="X103" s="464"/>
      <c r="Y103" s="464">
        <f>SUM(Tabela_SP2[sem6.godziny])</f>
        <v>358</v>
      </c>
      <c r="Z103" s="464">
        <f>SUM(Tabela_SP2[sem6.ects])</f>
        <v>21</v>
      </c>
      <c r="AA103" s="464"/>
      <c r="AB103" s="464">
        <f>SUM(Tabela_SP2[sem7.godziny])</f>
        <v>0</v>
      </c>
      <c r="AC103" s="464">
        <f>SUM(Tabela_SP2[sem7.ects])</f>
        <v>0</v>
      </c>
      <c r="AD103" s="464"/>
      <c r="AE103" s="464">
        <f>SUM(Tabela_SP2[sem5.godziny])</f>
        <v>350</v>
      </c>
      <c r="AF103" s="464">
        <f>SUM(Tabela_SP2[sem5.ects])</f>
        <v>20</v>
      </c>
      <c r="AG103" s="464"/>
      <c r="AH103" s="464">
        <f>SUM(Tabela_SP2[sem6.godziny])</f>
        <v>358</v>
      </c>
      <c r="AI103" s="464">
        <f>SUM(Tabela_SP2[sem6.ects])</f>
        <v>21</v>
      </c>
      <c r="AJ103" s="464"/>
      <c r="AK103" s="464">
        <f>SUM(Tabela_SP2[sem7.godziny])</f>
        <v>0</v>
      </c>
      <c r="AL103" s="464">
        <f>SUM(Tabela_SP2[sem7.ects])</f>
        <v>0</v>
      </c>
      <c r="AM103" s="464"/>
      <c r="AN103" s="464">
        <f>SUM(Tabela_SP2[ects.razem])</f>
        <v>56</v>
      </c>
      <c r="AO103" s="464">
        <f>SUM(Tabela_SP2[ects.umiej.prakt.])</f>
        <v>56</v>
      </c>
      <c r="AP103" s="464">
        <f>SUM(Tabela_SP2[ects.bezposr.nauczyciel])</f>
        <v>43.5</v>
      </c>
      <c r="AQ103" s="464">
        <f>SUM(Tabela_SP2[godziny.razem.student])</f>
        <v>1689</v>
      </c>
      <c r="AR103" s="464">
        <f>SUM(Tabela_SP2[godziny.samoksztalcenie])</f>
        <v>560</v>
      </c>
      <c r="AS103" s="464">
        <f>SUM(Tabela_SP2[godziny.konsultacja])</f>
        <v>97</v>
      </c>
      <c r="AT103" s="464">
        <f>SUM(Tabela_SP2[godziny.egzamin])</f>
        <v>34</v>
      </c>
      <c r="AU103" s="464">
        <f>SUM(Tabela_SP2[godziny.zajec.razem])</f>
        <v>998</v>
      </c>
      <c r="AV103" s="465"/>
      <c r="AW103" s="49"/>
    </row>
    <row r="104" spans="1:49" ht="25.5" hidden="1" customHeight="1" x14ac:dyDescent="0.3">
      <c r="A104" s="207"/>
      <c r="B104" s="668" t="s">
        <v>374</v>
      </c>
      <c r="C104" s="669" t="s">
        <v>373</v>
      </c>
      <c r="D104" s="527" t="s">
        <v>372</v>
      </c>
      <c r="E104" s="527" t="s">
        <v>371</v>
      </c>
      <c r="F104" s="670" t="s">
        <v>368</v>
      </c>
      <c r="G104" s="583" t="s">
        <v>369</v>
      </c>
      <c r="H104" s="530" t="s">
        <v>370</v>
      </c>
      <c r="I104" s="531" t="s">
        <v>375</v>
      </c>
      <c r="J104" s="532" t="s">
        <v>376</v>
      </c>
      <c r="K104" s="533" t="s">
        <v>377</v>
      </c>
      <c r="L104" s="534" t="s">
        <v>378</v>
      </c>
      <c r="M104" s="535" t="s">
        <v>379</v>
      </c>
      <c r="N104" s="536" t="s">
        <v>380</v>
      </c>
      <c r="O104" s="535" t="s">
        <v>381</v>
      </c>
      <c r="P104" s="537" t="s">
        <v>382</v>
      </c>
      <c r="Q104" s="538" t="s">
        <v>383</v>
      </c>
      <c r="R104" s="537" t="s">
        <v>384</v>
      </c>
      <c r="S104" s="539" t="s">
        <v>385</v>
      </c>
      <c r="T104" s="540" t="s">
        <v>386</v>
      </c>
      <c r="U104" s="539" t="s">
        <v>387</v>
      </c>
      <c r="V104" s="541" t="s">
        <v>388</v>
      </c>
      <c r="W104" s="542" t="s">
        <v>389</v>
      </c>
      <c r="X104" s="541" t="s">
        <v>390</v>
      </c>
      <c r="Y104" s="543" t="s">
        <v>391</v>
      </c>
      <c r="Z104" s="544" t="s">
        <v>392</v>
      </c>
      <c r="AA104" s="543" t="s">
        <v>393</v>
      </c>
      <c r="AB104" s="545" t="s">
        <v>394</v>
      </c>
      <c r="AC104" s="546" t="s">
        <v>395</v>
      </c>
      <c r="AD104" s="545" t="s">
        <v>396</v>
      </c>
      <c r="AE104" s="382" t="s">
        <v>409</v>
      </c>
      <c r="AF104" s="382" t="s">
        <v>410</v>
      </c>
      <c r="AG104" s="382" t="s">
        <v>411</v>
      </c>
      <c r="AH104" s="385" t="s">
        <v>412</v>
      </c>
      <c r="AI104" s="385" t="s">
        <v>413</v>
      </c>
      <c r="AJ104" s="385" t="s">
        <v>414</v>
      </c>
      <c r="AK104" s="387" t="s">
        <v>415</v>
      </c>
      <c r="AL104" s="387" t="s">
        <v>416</v>
      </c>
      <c r="AM104" s="387" t="s">
        <v>417</v>
      </c>
      <c r="AN104" s="550" t="s">
        <v>397</v>
      </c>
      <c r="AO104" s="551" t="s">
        <v>398</v>
      </c>
      <c r="AP104" s="552" t="s">
        <v>399</v>
      </c>
      <c r="AQ104" s="553" t="s">
        <v>400</v>
      </c>
      <c r="AR104" s="554" t="s">
        <v>401</v>
      </c>
      <c r="AS104" s="555" t="s">
        <v>402</v>
      </c>
      <c r="AT104" s="556" t="s">
        <v>403</v>
      </c>
      <c r="AU104" s="557" t="s">
        <v>404</v>
      </c>
      <c r="AV104" s="558" t="s">
        <v>405</v>
      </c>
      <c r="AW104" s="49"/>
    </row>
    <row r="105" spans="1:49" ht="25.5" customHeight="1" x14ac:dyDescent="0.3">
      <c r="A105" s="207"/>
      <c r="B105" s="397" t="s">
        <v>447</v>
      </c>
      <c r="C105" s="398" t="s">
        <v>561</v>
      </c>
      <c r="D105" s="362" t="s">
        <v>562</v>
      </c>
      <c r="E105" s="400" t="s">
        <v>604</v>
      </c>
      <c r="F105" s="401" t="s">
        <v>563</v>
      </c>
      <c r="G105" s="365"/>
      <c r="H105" s="366" t="s">
        <v>37</v>
      </c>
      <c r="I105" s="367" t="s">
        <v>32</v>
      </c>
      <c r="J105" s="368"/>
      <c r="K105" s="369" t="str" cm="1">
        <f t="array" ref="K105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05" s="368"/>
      <c r="M105" s="370"/>
      <c r="N105" s="371" t="str" cm="1">
        <f t="array" ref="N105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05" s="370"/>
      <c r="P105" s="372"/>
      <c r="Q105" s="373" t="str" cm="1">
        <f t="array" ref="Q105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05" s="372"/>
      <c r="S105" s="374">
        <v>30</v>
      </c>
      <c r="T105" s="375">
        <v>3</v>
      </c>
      <c r="U105" s="374" t="s">
        <v>33</v>
      </c>
      <c r="V105" s="673"/>
      <c r="W105" s="445" t="str" cm="1">
        <f t="array" ref="W105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05" s="673"/>
      <c r="Y105" s="674"/>
      <c r="Z105" s="446" t="str" cm="1">
        <f t="array" ref="Z105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05" s="674"/>
      <c r="AB105" s="380"/>
      <c r="AC105" s="381" t="str" cm="1">
        <f t="array" ref="AC105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05" s="380"/>
      <c r="AE105" s="382"/>
      <c r="AF105" s="383" t="str" cm="1">
        <f t="array" ref="AF105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05" s="382"/>
      <c r="AH105" s="384"/>
      <c r="AI105" s="385" t="str" cm="1">
        <f t="array" ref="AI105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05" s="384"/>
      <c r="AK105" s="386"/>
      <c r="AL105" s="387" t="str" cm="1">
        <f t="array" ref="AL105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05" s="386"/>
      <c r="AN105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05" s="389">
        <f>IF(ISERR(SEARCH("UP",Tabela_SP2[[#This Row],[Umiej.prakt.]],1)),0,Tabela_SP2[[#This Row],[ects.razem]])</f>
        <v>3</v>
      </c>
      <c r="AP105" s="390">
        <f>IF(Tabela_SP2[[#This Row],[czy.ects]]="TAK",ROUND((SUM(Tabela_SP2[[#This Row],[godziny.konsultacja]],Tabela_SP2[[#This Row],[godziny.egzamin]],Tabela_SP2[[#This Row],[godziny.zajec.razem]])/25)/0.5,0)*0.5,0)</f>
        <v>1.5</v>
      </c>
      <c r="AQ105" s="391">
        <f>SUM(Tabela_SP2[[#This Row],[godziny.samoksztalcenie]],Tabela_SP2[[#This Row],[godziny.konsultacja]],Tabela_SP2[[#This Row],[godziny.egzamin]],Tabela_SP2[[#This Row],[godziny.zajec.razem]])</f>
        <v>52</v>
      </c>
      <c r="AR105" s="392">
        <f>INT(SUM(Tabela_SP2[[#This Row],[godziny.konsultacja]],Tabela_SP2[[#This Row],[godziny.egzamin]],Tabela_SP2[[#This Row],[godziny.zajec.razem]])*0.5+Tabela_SP2[[#This Row],[godziny.zajec.razem]]*(15-$G$194)/9)</f>
        <v>17</v>
      </c>
      <c r="AS105" s="393">
        <f>INT(Tabela_SP2[[#This Row],[godziny.zajec.razem]]*0.1)</f>
        <v>3</v>
      </c>
      <c r="AT105" s="394">
        <f>IF(Tabela_SP2[[#This Row],[godziny.zajec.razem]]&gt;0,IF(Tabela_SP2[[#This Row],[godziny.zajec.razem]]&gt;=45,4,2),0)</f>
        <v>2</v>
      </c>
      <c r="AU105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05" s="396">
        <f>IF(Tabela_SP2[[#This Row],[ects.bezposr.nauczyciel]],Tabela_SP2[[#This Row],[ects.bezposr.nauczyciel]]/Tabela_SP2[[#This Row],[ects.razem]],0)</f>
        <v>0.5</v>
      </c>
      <c r="AW105" s="49"/>
    </row>
    <row r="106" spans="1:49" ht="25.5" customHeight="1" x14ac:dyDescent="0.3">
      <c r="A106" s="207"/>
      <c r="B106" s="397" t="s">
        <v>447</v>
      </c>
      <c r="C106" s="398" t="s">
        <v>486</v>
      </c>
      <c r="D106" s="362" t="s">
        <v>564</v>
      </c>
      <c r="E106" s="362" t="s">
        <v>604</v>
      </c>
      <c r="F106" s="401" t="s">
        <v>565</v>
      </c>
      <c r="G106" s="365"/>
      <c r="H106" s="366" t="s">
        <v>37</v>
      </c>
      <c r="I106" s="367" t="s">
        <v>32</v>
      </c>
      <c r="J106" s="368"/>
      <c r="K106" s="369" t="str" cm="1">
        <f t="array" ref="K106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06" s="368"/>
      <c r="M106" s="370"/>
      <c r="N106" s="371" t="str" cm="1">
        <f t="array" ref="N106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06" s="370"/>
      <c r="P106" s="372"/>
      <c r="Q106" s="373" t="str" cm="1">
        <f t="array" ref="Q106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06" s="372"/>
      <c r="S106" s="374">
        <v>15</v>
      </c>
      <c r="T106" s="375" cm="1">
        <f t="array" ref="T106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>1</v>
      </c>
      <c r="U106" s="374" t="s">
        <v>33</v>
      </c>
      <c r="V106" s="673"/>
      <c r="W106" s="445" t="str" cm="1">
        <f t="array" ref="W106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06" s="673"/>
      <c r="Y106" s="674"/>
      <c r="Z106" s="446" t="str" cm="1">
        <f t="array" ref="Z106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06" s="674"/>
      <c r="AB106" s="380"/>
      <c r="AC106" s="381" t="str" cm="1">
        <f t="array" ref="AC106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06" s="380"/>
      <c r="AE106" s="382"/>
      <c r="AF106" s="383" t="str" cm="1">
        <f t="array" ref="AF106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06" s="382"/>
      <c r="AH106" s="384"/>
      <c r="AI106" s="385" t="str" cm="1">
        <f t="array" ref="AI106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06" s="384"/>
      <c r="AK106" s="386"/>
      <c r="AL106" s="387" t="str" cm="1">
        <f t="array" ref="AL106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06" s="386"/>
      <c r="AN106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1</v>
      </c>
      <c r="AO106" s="389">
        <f>IF(ISERR(SEARCH("UP",Tabela_SP2[[#This Row],[Umiej.prakt.]],1)),0,Tabela_SP2[[#This Row],[ects.razem]])</f>
        <v>1</v>
      </c>
      <c r="AP106" s="390">
        <f>IF(Tabela_SP2[[#This Row],[czy.ects]]="TAK",ROUND((SUM(Tabela_SP2[[#This Row],[godziny.konsultacja]],Tabela_SP2[[#This Row],[godziny.egzamin]],Tabela_SP2[[#This Row],[godziny.zajec.razem]])/25)/0.5,0)*0.5,0)</f>
        <v>0.5</v>
      </c>
      <c r="AQ106" s="391">
        <f>SUM(Tabela_SP2[[#This Row],[godziny.samoksztalcenie]],Tabela_SP2[[#This Row],[godziny.konsultacja]],Tabela_SP2[[#This Row],[godziny.egzamin]],Tabela_SP2[[#This Row],[godziny.zajec.razem]])</f>
        <v>27</v>
      </c>
      <c r="AR106" s="392">
        <f>INT(SUM(Tabela_SP2[[#This Row],[godziny.konsultacja]],Tabela_SP2[[#This Row],[godziny.egzamin]],Tabela_SP2[[#This Row],[godziny.zajec.razem]])*0.5+Tabela_SP2[[#This Row],[godziny.zajec.razem]]*(15-$G$194)/9)</f>
        <v>9</v>
      </c>
      <c r="AS106" s="393">
        <f>INT(Tabela_SP2[[#This Row],[godziny.zajec.razem]]*0.1)</f>
        <v>1</v>
      </c>
      <c r="AT106" s="394">
        <f>IF(Tabela_SP2[[#This Row],[godziny.zajec.razem]]&gt;0,IF(Tabela_SP2[[#This Row],[godziny.zajec.razem]]&gt;=45,4,2),0)</f>
        <v>2</v>
      </c>
      <c r="AU106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15</v>
      </c>
      <c r="AV106" s="396">
        <f>IF(Tabela_SP2[[#This Row],[ects.bezposr.nauczyciel]],Tabela_SP2[[#This Row],[ects.bezposr.nauczyciel]]/Tabela_SP2[[#This Row],[ects.razem]],0)</f>
        <v>0.5</v>
      </c>
      <c r="AW106" s="49"/>
    </row>
    <row r="107" spans="1:49" ht="25.5" customHeight="1" x14ac:dyDescent="0.3">
      <c r="A107" s="207"/>
      <c r="B107" s="397" t="s">
        <v>447</v>
      </c>
      <c r="C107" s="398" t="s">
        <v>486</v>
      </c>
      <c r="D107" s="362" t="s">
        <v>566</v>
      </c>
      <c r="E107" s="362" t="s">
        <v>604</v>
      </c>
      <c r="F107" s="401" t="s">
        <v>565</v>
      </c>
      <c r="G107" s="365"/>
      <c r="H107" s="366" t="s">
        <v>31</v>
      </c>
      <c r="I107" s="367" t="s">
        <v>32</v>
      </c>
      <c r="J107" s="368"/>
      <c r="K107" s="369" t="str" cm="1">
        <f t="array" ref="K107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07" s="368"/>
      <c r="M107" s="370"/>
      <c r="N107" s="371" t="str" cm="1">
        <f t="array" ref="N107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07" s="370"/>
      <c r="P107" s="372"/>
      <c r="Q107" s="373" t="str" cm="1">
        <f t="array" ref="Q107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07" s="372"/>
      <c r="S107" s="374">
        <v>30</v>
      </c>
      <c r="T107" s="375">
        <v>3</v>
      </c>
      <c r="U107" s="374" t="s">
        <v>33</v>
      </c>
      <c r="V107" s="673"/>
      <c r="W107" s="445" t="str" cm="1">
        <f t="array" ref="W107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07" s="673"/>
      <c r="Y107" s="674"/>
      <c r="Z107" s="446" t="str" cm="1">
        <f t="array" ref="Z107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07" s="674"/>
      <c r="AB107" s="380"/>
      <c r="AC107" s="381" t="str" cm="1">
        <f t="array" ref="AC107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07" s="380"/>
      <c r="AE107" s="382"/>
      <c r="AF107" s="383" t="str" cm="1">
        <f t="array" ref="AF107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07" s="382"/>
      <c r="AH107" s="384"/>
      <c r="AI107" s="385" t="str" cm="1">
        <f t="array" ref="AI107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07" s="384"/>
      <c r="AK107" s="386"/>
      <c r="AL107" s="387" t="str" cm="1">
        <f t="array" ref="AL107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07" s="386"/>
      <c r="AN107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07" s="389">
        <f>IF(ISERR(SEARCH("UP",Tabela_SP2[[#This Row],[Umiej.prakt.]],1)),0,Tabela_SP2[[#This Row],[ects.razem]])</f>
        <v>3</v>
      </c>
      <c r="AP107" s="390">
        <f>IF(Tabela_SP2[[#This Row],[czy.ects]]="TAK",ROUND((SUM(Tabela_SP2[[#This Row],[godziny.konsultacja]],Tabela_SP2[[#This Row],[godziny.egzamin]],Tabela_SP2[[#This Row],[godziny.zajec.razem]])/25)/0.5,0)*0.5,0)</f>
        <v>1.5</v>
      </c>
      <c r="AQ107" s="391">
        <f>SUM(Tabela_SP2[[#This Row],[godziny.samoksztalcenie]],Tabela_SP2[[#This Row],[godziny.konsultacja]],Tabela_SP2[[#This Row],[godziny.egzamin]],Tabela_SP2[[#This Row],[godziny.zajec.razem]])</f>
        <v>52</v>
      </c>
      <c r="AR107" s="392">
        <f>INT(SUM(Tabela_SP2[[#This Row],[godziny.konsultacja]],Tabela_SP2[[#This Row],[godziny.egzamin]],Tabela_SP2[[#This Row],[godziny.zajec.razem]])*0.5+Tabela_SP2[[#This Row],[godziny.zajec.razem]]*(15-$G$194)/9)</f>
        <v>17</v>
      </c>
      <c r="AS107" s="393">
        <f>INT(Tabela_SP2[[#This Row],[godziny.zajec.razem]]*0.1)</f>
        <v>3</v>
      </c>
      <c r="AT107" s="394">
        <f>IF(Tabela_SP2[[#This Row],[godziny.zajec.razem]]&gt;0,IF(Tabela_SP2[[#This Row],[godziny.zajec.razem]]&gt;=45,4,2),0)</f>
        <v>2</v>
      </c>
      <c r="AU107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07" s="396">
        <f>IF(Tabela_SP2[[#This Row],[ects.bezposr.nauczyciel]],Tabela_SP2[[#This Row],[ects.bezposr.nauczyciel]]/Tabela_SP2[[#This Row],[ects.razem]],0)</f>
        <v>0.5</v>
      </c>
      <c r="AW107" s="49"/>
    </row>
    <row r="108" spans="1:49" ht="25.5" customHeight="1" x14ac:dyDescent="0.3">
      <c r="A108" s="207"/>
      <c r="B108" s="397" t="s">
        <v>447</v>
      </c>
      <c r="C108" s="398" t="s">
        <v>486</v>
      </c>
      <c r="D108" s="362" t="s">
        <v>567</v>
      </c>
      <c r="E108" s="362" t="s">
        <v>604</v>
      </c>
      <c r="F108" s="401" t="s">
        <v>569</v>
      </c>
      <c r="G108" s="365"/>
      <c r="H108" s="366" t="s">
        <v>37</v>
      </c>
      <c r="I108" s="367" t="s">
        <v>32</v>
      </c>
      <c r="J108" s="368"/>
      <c r="K108" s="369" t="str" cm="1">
        <f t="array" ref="K108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08" s="368"/>
      <c r="M108" s="370"/>
      <c r="N108" s="371" t="str" cm="1">
        <f t="array" ref="N108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08" s="370"/>
      <c r="P108" s="372"/>
      <c r="Q108" s="373" t="str" cm="1">
        <f t="array" ref="Q108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08" s="372"/>
      <c r="S108" s="374"/>
      <c r="T108" s="375" t="str" cm="1">
        <f t="array" ref="T108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08" s="374"/>
      <c r="V108" s="673">
        <v>30</v>
      </c>
      <c r="W108" s="445" cm="1">
        <f t="array" ref="W108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>2</v>
      </c>
      <c r="X108" s="673" t="s">
        <v>33</v>
      </c>
      <c r="Y108" s="674"/>
      <c r="Z108" s="446" t="str" cm="1">
        <f t="array" ref="Z108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08" s="674"/>
      <c r="AB108" s="380"/>
      <c r="AC108" s="381" t="str" cm="1">
        <f t="array" ref="AC108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08" s="380"/>
      <c r="AE108" s="382"/>
      <c r="AF108" s="383" t="str" cm="1">
        <f t="array" ref="AF108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08" s="382"/>
      <c r="AH108" s="384"/>
      <c r="AI108" s="385" t="str" cm="1">
        <f t="array" ref="AI108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08" s="384"/>
      <c r="AK108" s="386"/>
      <c r="AL108" s="387" t="str" cm="1">
        <f t="array" ref="AL108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08" s="386"/>
      <c r="AN108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2</v>
      </c>
      <c r="AO108" s="389">
        <f>IF(ISERR(SEARCH("UP",Tabela_SP2[[#This Row],[Umiej.prakt.]],1)),0,Tabela_SP2[[#This Row],[ects.razem]])</f>
        <v>2</v>
      </c>
      <c r="AP108" s="390">
        <f>IF(Tabela_SP2[[#This Row],[czy.ects]]="TAK",ROUND((SUM(Tabela_SP2[[#This Row],[godziny.konsultacja]],Tabela_SP2[[#This Row],[godziny.egzamin]],Tabela_SP2[[#This Row],[godziny.zajec.razem]])/25)/0.5,0)*0.5,0)</f>
        <v>1.5</v>
      </c>
      <c r="AQ108" s="391">
        <f>SUM(Tabela_SP2[[#This Row],[godziny.samoksztalcenie]],Tabela_SP2[[#This Row],[godziny.konsultacja]],Tabela_SP2[[#This Row],[godziny.egzamin]],Tabela_SP2[[#This Row],[godziny.zajec.razem]])</f>
        <v>52</v>
      </c>
      <c r="AR108" s="392">
        <f>INT(SUM(Tabela_SP2[[#This Row],[godziny.konsultacja]],Tabela_SP2[[#This Row],[godziny.egzamin]],Tabela_SP2[[#This Row],[godziny.zajec.razem]])*0.5+Tabela_SP2[[#This Row],[godziny.zajec.razem]]*(15-$G$194)/9)</f>
        <v>17</v>
      </c>
      <c r="AS108" s="393">
        <f>INT(Tabela_SP2[[#This Row],[godziny.zajec.razem]]*0.1)</f>
        <v>3</v>
      </c>
      <c r="AT108" s="394">
        <f>IF(Tabela_SP2[[#This Row],[godziny.zajec.razem]]&gt;0,IF(Tabela_SP2[[#This Row],[godziny.zajec.razem]]&gt;=45,4,2),0)</f>
        <v>2</v>
      </c>
      <c r="AU108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08" s="396">
        <f>IF(Tabela_SP2[[#This Row],[ects.bezposr.nauczyciel]],Tabela_SP2[[#This Row],[ects.bezposr.nauczyciel]]/Tabela_SP2[[#This Row],[ects.razem]],0)</f>
        <v>0.75</v>
      </c>
      <c r="AW108" s="49"/>
    </row>
    <row r="109" spans="1:49" ht="25.5" customHeight="1" x14ac:dyDescent="0.3">
      <c r="A109" s="207"/>
      <c r="B109" s="397" t="s">
        <v>447</v>
      </c>
      <c r="C109" s="398" t="s">
        <v>486</v>
      </c>
      <c r="D109" s="362" t="s">
        <v>568</v>
      </c>
      <c r="E109" s="362" t="s">
        <v>604</v>
      </c>
      <c r="F109" s="401" t="s">
        <v>569</v>
      </c>
      <c r="G109" s="365"/>
      <c r="H109" s="366" t="s">
        <v>31</v>
      </c>
      <c r="I109" s="367" t="s">
        <v>32</v>
      </c>
      <c r="J109" s="368"/>
      <c r="K109" s="369" t="str" cm="1">
        <f t="array" ref="K109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09" s="368"/>
      <c r="M109" s="370"/>
      <c r="N109" s="371" t="str" cm="1">
        <f t="array" ref="N109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09" s="370"/>
      <c r="P109" s="372"/>
      <c r="Q109" s="373" t="str" cm="1">
        <f t="array" ref="Q109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09" s="372"/>
      <c r="S109" s="374"/>
      <c r="T109" s="375" t="str" cm="1">
        <f t="array" ref="T109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09" s="374"/>
      <c r="V109" s="673">
        <v>30</v>
      </c>
      <c r="W109" s="445">
        <v>3</v>
      </c>
      <c r="X109" s="673" t="s">
        <v>33</v>
      </c>
      <c r="Y109" s="674"/>
      <c r="Z109" s="446" t="str" cm="1">
        <f t="array" ref="Z109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09" s="674"/>
      <c r="AB109" s="380"/>
      <c r="AC109" s="381" t="str" cm="1">
        <f t="array" ref="AC109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09" s="380"/>
      <c r="AE109" s="382"/>
      <c r="AF109" s="383" t="str" cm="1">
        <f t="array" ref="AF109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09" s="382"/>
      <c r="AH109" s="384"/>
      <c r="AI109" s="385" t="str" cm="1">
        <f t="array" ref="AI109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09" s="384"/>
      <c r="AK109" s="386"/>
      <c r="AL109" s="387" t="str" cm="1">
        <f t="array" ref="AL109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09" s="386"/>
      <c r="AN109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09" s="389">
        <f>IF(ISERR(SEARCH("UP",Tabela_SP2[[#This Row],[Umiej.prakt.]],1)),0,Tabela_SP2[[#This Row],[ects.razem]])</f>
        <v>3</v>
      </c>
      <c r="AP109" s="390">
        <f>IF(Tabela_SP2[[#This Row],[czy.ects]]="TAK",ROUND((SUM(Tabela_SP2[[#This Row],[godziny.konsultacja]],Tabela_SP2[[#This Row],[godziny.egzamin]],Tabela_SP2[[#This Row],[godziny.zajec.razem]])/25)/0.5,0)*0.5,0)</f>
        <v>1.5</v>
      </c>
      <c r="AQ109" s="391">
        <f>SUM(Tabela_SP2[[#This Row],[godziny.samoksztalcenie]],Tabela_SP2[[#This Row],[godziny.konsultacja]],Tabela_SP2[[#This Row],[godziny.egzamin]],Tabela_SP2[[#This Row],[godziny.zajec.razem]])</f>
        <v>52</v>
      </c>
      <c r="AR109" s="392">
        <f>INT(SUM(Tabela_SP2[[#This Row],[godziny.konsultacja]],Tabela_SP2[[#This Row],[godziny.egzamin]],Tabela_SP2[[#This Row],[godziny.zajec.razem]])*0.5+Tabela_SP2[[#This Row],[godziny.zajec.razem]]*(15-$G$194)/9)</f>
        <v>17</v>
      </c>
      <c r="AS109" s="393">
        <f>INT(Tabela_SP2[[#This Row],[godziny.zajec.razem]]*0.1)</f>
        <v>3</v>
      </c>
      <c r="AT109" s="394">
        <f>IF(Tabela_SP2[[#This Row],[godziny.zajec.razem]]&gt;0,IF(Tabela_SP2[[#This Row],[godziny.zajec.razem]]&gt;=45,4,2),0)</f>
        <v>2</v>
      </c>
      <c r="AU109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09" s="396">
        <f>IF(Tabela_SP2[[#This Row],[ects.bezposr.nauczyciel]],Tabela_SP2[[#This Row],[ects.bezposr.nauczyciel]]/Tabela_SP2[[#This Row],[ects.razem]],0)</f>
        <v>0.5</v>
      </c>
      <c r="AW109" s="49"/>
    </row>
    <row r="110" spans="1:49" ht="25.5" customHeight="1" x14ac:dyDescent="0.3">
      <c r="A110" s="207"/>
      <c r="B110" s="397" t="s">
        <v>490</v>
      </c>
      <c r="C110" s="398" t="s">
        <v>486</v>
      </c>
      <c r="D110" s="362" t="s">
        <v>570</v>
      </c>
      <c r="E110" s="362" t="s">
        <v>604</v>
      </c>
      <c r="F110" s="401" t="s">
        <v>572</v>
      </c>
      <c r="G110" s="365"/>
      <c r="H110" s="366" t="s">
        <v>37</v>
      </c>
      <c r="I110" s="367" t="s">
        <v>32</v>
      </c>
      <c r="J110" s="368"/>
      <c r="K110" s="369" t="str" cm="1">
        <f t="array" ref="K110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0" s="368"/>
      <c r="M110" s="370"/>
      <c r="N110" s="371" t="str" cm="1">
        <f t="array" ref="N110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0" s="370"/>
      <c r="P110" s="372"/>
      <c r="Q110" s="373" t="str" cm="1">
        <f t="array" ref="Q110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0" s="372"/>
      <c r="S110" s="374"/>
      <c r="T110" s="375" t="str" cm="1">
        <f t="array" ref="T110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0" s="374"/>
      <c r="V110" s="673">
        <v>15</v>
      </c>
      <c r="W110" s="445" cm="1">
        <f t="array" ref="W110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>1</v>
      </c>
      <c r="X110" s="673" t="s">
        <v>33</v>
      </c>
      <c r="Y110" s="674"/>
      <c r="Z110" s="446" t="str" cm="1">
        <f t="array" ref="Z110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10" s="674"/>
      <c r="AB110" s="380"/>
      <c r="AC110" s="381" t="str" cm="1">
        <f t="array" ref="AC110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0" s="380"/>
      <c r="AE110" s="382"/>
      <c r="AF110" s="383" t="str" cm="1">
        <f t="array" ref="AF110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0" s="382"/>
      <c r="AH110" s="384"/>
      <c r="AI110" s="385" t="str" cm="1">
        <f t="array" ref="AI110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0" s="384"/>
      <c r="AK110" s="386"/>
      <c r="AL110" s="387" t="str" cm="1">
        <f t="array" ref="AL110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0" s="386"/>
      <c r="AN110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1</v>
      </c>
      <c r="AO110" s="389">
        <f>IF(ISERR(SEARCH("UP",Tabela_SP2[[#This Row],[Umiej.prakt.]],1)),0,Tabela_SP2[[#This Row],[ects.razem]])</f>
        <v>1</v>
      </c>
      <c r="AP110" s="390">
        <f>IF(Tabela_SP2[[#This Row],[czy.ects]]="TAK",ROUND((SUM(Tabela_SP2[[#This Row],[godziny.konsultacja]],Tabela_SP2[[#This Row],[godziny.egzamin]],Tabela_SP2[[#This Row],[godziny.zajec.razem]])/25)/0.5,0)*0.5,0)</f>
        <v>0.5</v>
      </c>
      <c r="AQ110" s="391">
        <f>SUM(Tabela_SP2[[#This Row],[godziny.samoksztalcenie]],Tabela_SP2[[#This Row],[godziny.konsultacja]],Tabela_SP2[[#This Row],[godziny.egzamin]],Tabela_SP2[[#This Row],[godziny.zajec.razem]])</f>
        <v>27</v>
      </c>
      <c r="AR110" s="392">
        <f>INT(SUM(Tabela_SP2[[#This Row],[godziny.konsultacja]],Tabela_SP2[[#This Row],[godziny.egzamin]],Tabela_SP2[[#This Row],[godziny.zajec.razem]])*0.5+Tabela_SP2[[#This Row],[godziny.zajec.razem]]*(15-$G$194)/9)</f>
        <v>9</v>
      </c>
      <c r="AS110" s="393">
        <f>INT(Tabela_SP2[[#This Row],[godziny.zajec.razem]]*0.1)</f>
        <v>1</v>
      </c>
      <c r="AT110" s="394">
        <f>IF(Tabela_SP2[[#This Row],[godziny.zajec.razem]]&gt;0,IF(Tabela_SP2[[#This Row],[godziny.zajec.razem]]&gt;=45,4,2),0)</f>
        <v>2</v>
      </c>
      <c r="AU110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15</v>
      </c>
      <c r="AV110" s="396">
        <f>IF(Tabela_SP2[[#This Row],[ects.bezposr.nauczyciel]],Tabela_SP2[[#This Row],[ects.bezposr.nauczyciel]]/Tabela_SP2[[#This Row],[ects.razem]],0)</f>
        <v>0.5</v>
      </c>
      <c r="AW110" s="49"/>
    </row>
    <row r="111" spans="1:49" ht="25.5" customHeight="1" x14ac:dyDescent="0.3">
      <c r="A111" s="207"/>
      <c r="B111" s="397" t="s">
        <v>490</v>
      </c>
      <c r="C111" s="398" t="s">
        <v>486</v>
      </c>
      <c r="D111" s="362" t="s">
        <v>571</v>
      </c>
      <c r="E111" s="362" t="s">
        <v>604</v>
      </c>
      <c r="F111" s="401" t="s">
        <v>572</v>
      </c>
      <c r="G111" s="365"/>
      <c r="H111" s="366" t="s">
        <v>39</v>
      </c>
      <c r="I111" s="367" t="s">
        <v>32</v>
      </c>
      <c r="J111" s="368"/>
      <c r="K111" s="369" t="str" cm="1">
        <f t="array" ref="K111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1" s="368"/>
      <c r="M111" s="370"/>
      <c r="N111" s="371" t="str" cm="1">
        <f t="array" ref="N111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1" s="370"/>
      <c r="P111" s="372"/>
      <c r="Q111" s="373" t="str" cm="1">
        <f t="array" ref="Q111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1" s="372"/>
      <c r="S111" s="374"/>
      <c r="T111" s="375" t="str" cm="1">
        <f t="array" ref="T111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1" s="374"/>
      <c r="V111" s="673">
        <v>30</v>
      </c>
      <c r="W111" s="445">
        <v>3</v>
      </c>
      <c r="X111" s="673" t="s">
        <v>33</v>
      </c>
      <c r="Y111" s="674"/>
      <c r="Z111" s="446" t="str" cm="1">
        <f t="array" ref="Z111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11" s="674"/>
      <c r="AB111" s="380"/>
      <c r="AC111" s="381" t="str" cm="1">
        <f t="array" ref="AC111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1" s="380"/>
      <c r="AE111" s="382"/>
      <c r="AF111" s="383" t="str" cm="1">
        <f t="array" ref="AF111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1" s="382"/>
      <c r="AH111" s="384"/>
      <c r="AI111" s="385" t="str" cm="1">
        <f t="array" ref="AI111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1" s="384"/>
      <c r="AK111" s="386"/>
      <c r="AL111" s="387" t="str" cm="1">
        <f t="array" ref="AL111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1" s="386"/>
      <c r="AN111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11" s="389">
        <f>IF(ISERR(SEARCH("UP",Tabela_SP2[[#This Row],[Umiej.prakt.]],1)),0,Tabela_SP2[[#This Row],[ects.razem]])</f>
        <v>3</v>
      </c>
      <c r="AP111" s="390">
        <f>IF(Tabela_SP2[[#This Row],[czy.ects]]="TAK",ROUND((SUM(Tabela_SP2[[#This Row],[godziny.konsultacja]],Tabela_SP2[[#This Row],[godziny.egzamin]],Tabela_SP2[[#This Row],[godziny.zajec.razem]])/25)/0.5,0)*0.5,0)</f>
        <v>1.5</v>
      </c>
      <c r="AQ111" s="391">
        <f>SUM(Tabela_SP2[[#This Row],[godziny.samoksztalcenie]],Tabela_SP2[[#This Row],[godziny.konsultacja]],Tabela_SP2[[#This Row],[godziny.egzamin]],Tabela_SP2[[#This Row],[godziny.zajec.razem]])</f>
        <v>52</v>
      </c>
      <c r="AR111" s="392">
        <f>INT(SUM(Tabela_SP2[[#This Row],[godziny.konsultacja]],Tabela_SP2[[#This Row],[godziny.egzamin]],Tabela_SP2[[#This Row],[godziny.zajec.razem]])*0.5+Tabela_SP2[[#This Row],[godziny.zajec.razem]]*(15-$G$194)/9)</f>
        <v>17</v>
      </c>
      <c r="AS111" s="393">
        <f>INT(Tabela_SP2[[#This Row],[godziny.zajec.razem]]*0.1)</f>
        <v>3</v>
      </c>
      <c r="AT111" s="394">
        <f>IF(Tabela_SP2[[#This Row],[godziny.zajec.razem]]&gt;0,IF(Tabela_SP2[[#This Row],[godziny.zajec.razem]]&gt;=45,4,2),0)</f>
        <v>2</v>
      </c>
      <c r="AU111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11" s="396">
        <f>IF(Tabela_SP2[[#This Row],[ects.bezposr.nauczyciel]],Tabela_SP2[[#This Row],[ects.bezposr.nauczyciel]]/Tabela_SP2[[#This Row],[ects.razem]],0)</f>
        <v>0.5</v>
      </c>
      <c r="AW111" s="49"/>
    </row>
    <row r="112" spans="1:49" ht="25.5" customHeight="1" x14ac:dyDescent="0.3">
      <c r="A112" s="207"/>
      <c r="B112" s="397" t="s">
        <v>490</v>
      </c>
      <c r="C112" s="398" t="s">
        <v>486</v>
      </c>
      <c r="D112" s="362" t="s">
        <v>573</v>
      </c>
      <c r="E112" s="362" t="s">
        <v>604</v>
      </c>
      <c r="F112" s="401" t="s">
        <v>575</v>
      </c>
      <c r="G112" s="365"/>
      <c r="H112" s="366" t="s">
        <v>37</v>
      </c>
      <c r="I112" s="367" t="s">
        <v>32</v>
      </c>
      <c r="J112" s="368"/>
      <c r="K112" s="369" t="str" cm="1">
        <f t="array" ref="K112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2" s="368"/>
      <c r="M112" s="370"/>
      <c r="N112" s="371" t="str" cm="1">
        <f t="array" ref="N112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2" s="370"/>
      <c r="P112" s="372"/>
      <c r="Q112" s="373" t="str" cm="1">
        <f t="array" ref="Q112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2" s="372"/>
      <c r="S112" s="374"/>
      <c r="T112" s="375" t="str" cm="1">
        <f t="array" ref="T112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2" s="374"/>
      <c r="V112" s="673"/>
      <c r="W112" s="445" t="str" cm="1">
        <f t="array" ref="W112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12" s="673"/>
      <c r="Y112" s="674">
        <v>15</v>
      </c>
      <c r="Z112" s="446" cm="1">
        <f t="array" ref="Z112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>1</v>
      </c>
      <c r="AA112" s="674" t="s">
        <v>33</v>
      </c>
      <c r="AB112" s="380"/>
      <c r="AC112" s="381" t="str" cm="1">
        <f t="array" ref="AC112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2" s="380"/>
      <c r="AE112" s="382"/>
      <c r="AF112" s="383" t="str" cm="1">
        <f t="array" ref="AF112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2" s="382"/>
      <c r="AH112" s="384"/>
      <c r="AI112" s="385" t="str" cm="1">
        <f t="array" ref="AI112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2" s="384"/>
      <c r="AK112" s="386"/>
      <c r="AL112" s="387" t="str" cm="1">
        <f t="array" ref="AL112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2" s="386"/>
      <c r="AN112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1</v>
      </c>
      <c r="AO112" s="389">
        <f>IF(ISERR(SEARCH("UP",Tabela_SP2[[#This Row],[Umiej.prakt.]],1)),0,Tabela_SP2[[#This Row],[ects.razem]])</f>
        <v>1</v>
      </c>
      <c r="AP112" s="390">
        <f>IF(Tabela_SP2[[#This Row],[czy.ects]]="TAK",ROUND((SUM(Tabela_SP2[[#This Row],[godziny.konsultacja]],Tabela_SP2[[#This Row],[godziny.egzamin]],Tabela_SP2[[#This Row],[godziny.zajec.razem]])/25)/0.5,0)*0.5,0)</f>
        <v>0.5</v>
      </c>
      <c r="AQ112" s="391">
        <f>SUM(Tabela_SP2[[#This Row],[godziny.samoksztalcenie]],Tabela_SP2[[#This Row],[godziny.konsultacja]],Tabela_SP2[[#This Row],[godziny.egzamin]],Tabela_SP2[[#This Row],[godziny.zajec.razem]])</f>
        <v>27</v>
      </c>
      <c r="AR112" s="392">
        <f>INT(SUM(Tabela_SP2[[#This Row],[godziny.konsultacja]],Tabela_SP2[[#This Row],[godziny.egzamin]],Tabela_SP2[[#This Row],[godziny.zajec.razem]])*0.5+Tabela_SP2[[#This Row],[godziny.zajec.razem]]*(15-$G$194)/9)</f>
        <v>9</v>
      </c>
      <c r="AS112" s="393">
        <f>INT(Tabela_SP2[[#This Row],[godziny.zajec.razem]]*0.1)</f>
        <v>1</v>
      </c>
      <c r="AT112" s="394">
        <f>IF(Tabela_SP2[[#This Row],[godziny.zajec.razem]]&gt;0,IF(Tabela_SP2[[#This Row],[godziny.zajec.razem]]&gt;=45,4,2),0)</f>
        <v>2</v>
      </c>
      <c r="AU112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15</v>
      </c>
      <c r="AV112" s="396">
        <f>IF(Tabela_SP2[[#This Row],[ects.bezposr.nauczyciel]],Tabela_SP2[[#This Row],[ects.bezposr.nauczyciel]]/Tabela_SP2[[#This Row],[ects.razem]],0)</f>
        <v>0.5</v>
      </c>
      <c r="AW112" s="49"/>
    </row>
    <row r="113" spans="1:49" ht="25.5" customHeight="1" x14ac:dyDescent="0.3">
      <c r="A113" s="207"/>
      <c r="B113" s="397" t="s">
        <v>490</v>
      </c>
      <c r="C113" s="398" t="s">
        <v>486</v>
      </c>
      <c r="D113" s="362" t="s">
        <v>574</v>
      </c>
      <c r="E113" s="362" t="s">
        <v>604</v>
      </c>
      <c r="F113" s="401" t="s">
        <v>575</v>
      </c>
      <c r="G113" s="365"/>
      <c r="H113" s="366" t="s">
        <v>31</v>
      </c>
      <c r="I113" s="367" t="s">
        <v>32</v>
      </c>
      <c r="J113" s="368"/>
      <c r="K113" s="369" t="str" cm="1">
        <f t="array" ref="K113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3" s="368"/>
      <c r="M113" s="370"/>
      <c r="N113" s="371" t="str" cm="1">
        <f t="array" ref="N113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3" s="370"/>
      <c r="P113" s="372"/>
      <c r="Q113" s="373" t="str" cm="1">
        <f t="array" ref="Q113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3" s="372"/>
      <c r="S113" s="374"/>
      <c r="T113" s="375" t="str" cm="1">
        <f t="array" ref="T113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3" s="374"/>
      <c r="V113" s="673"/>
      <c r="W113" s="445" t="str" cm="1">
        <f t="array" ref="W113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13" s="673"/>
      <c r="Y113" s="674">
        <v>30</v>
      </c>
      <c r="Z113" s="446">
        <v>3</v>
      </c>
      <c r="AA113" s="674" t="s">
        <v>33</v>
      </c>
      <c r="AB113" s="380"/>
      <c r="AC113" s="381" t="str" cm="1">
        <f t="array" ref="AC113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3" s="380"/>
      <c r="AE113" s="382"/>
      <c r="AF113" s="383" t="str" cm="1">
        <f t="array" ref="AF113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3" s="382"/>
      <c r="AH113" s="384"/>
      <c r="AI113" s="385" t="str" cm="1">
        <f t="array" ref="AI113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3" s="384"/>
      <c r="AK113" s="386"/>
      <c r="AL113" s="387" t="str" cm="1">
        <f t="array" ref="AL113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3" s="386"/>
      <c r="AN113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13" s="389">
        <f>IF(ISERR(SEARCH("UP",Tabela_SP2[[#This Row],[Umiej.prakt.]],1)),0,Tabela_SP2[[#This Row],[ects.razem]])</f>
        <v>3</v>
      </c>
      <c r="AP113" s="390">
        <f>IF(Tabela_SP2[[#This Row],[czy.ects]]="TAK",ROUND((SUM(Tabela_SP2[[#This Row],[godziny.konsultacja]],Tabela_SP2[[#This Row],[godziny.egzamin]],Tabela_SP2[[#This Row],[godziny.zajec.razem]])/25)/0.5,0)*0.5,0)</f>
        <v>1.5</v>
      </c>
      <c r="AQ113" s="391">
        <f>SUM(Tabela_SP2[[#This Row],[godziny.samoksztalcenie]],Tabela_SP2[[#This Row],[godziny.konsultacja]],Tabela_SP2[[#This Row],[godziny.egzamin]],Tabela_SP2[[#This Row],[godziny.zajec.razem]])</f>
        <v>52</v>
      </c>
      <c r="AR113" s="392">
        <f>INT(SUM(Tabela_SP2[[#This Row],[godziny.konsultacja]],Tabela_SP2[[#This Row],[godziny.egzamin]],Tabela_SP2[[#This Row],[godziny.zajec.razem]])*0.5+Tabela_SP2[[#This Row],[godziny.zajec.razem]]*(15-$G$194)/9)</f>
        <v>17</v>
      </c>
      <c r="AS113" s="393">
        <f>INT(Tabela_SP2[[#This Row],[godziny.zajec.razem]]*0.1)</f>
        <v>3</v>
      </c>
      <c r="AT113" s="394">
        <f>IF(Tabela_SP2[[#This Row],[godziny.zajec.razem]]&gt;0,IF(Tabela_SP2[[#This Row],[godziny.zajec.razem]]&gt;=45,4,2),0)</f>
        <v>2</v>
      </c>
      <c r="AU113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13" s="396">
        <f>IF(Tabela_SP2[[#This Row],[ects.bezposr.nauczyciel]],Tabela_SP2[[#This Row],[ects.bezposr.nauczyciel]]/Tabela_SP2[[#This Row],[ects.razem]],0)</f>
        <v>0.5</v>
      </c>
      <c r="AW113" s="49"/>
    </row>
    <row r="114" spans="1:49" ht="25.5" customHeight="1" x14ac:dyDescent="0.3">
      <c r="A114" s="207"/>
      <c r="B114" s="397" t="s">
        <v>462</v>
      </c>
      <c r="C114" s="398" t="s">
        <v>576</v>
      </c>
      <c r="D114" s="362" t="s">
        <v>577</v>
      </c>
      <c r="E114" s="362" t="s">
        <v>604</v>
      </c>
      <c r="F114" s="401" t="s">
        <v>583</v>
      </c>
      <c r="G114" s="365"/>
      <c r="H114" s="366" t="s">
        <v>37</v>
      </c>
      <c r="I114" s="367" t="s">
        <v>32</v>
      </c>
      <c r="J114" s="368"/>
      <c r="K114" s="369" t="str" cm="1">
        <f t="array" ref="K114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4" s="368"/>
      <c r="M114" s="370"/>
      <c r="N114" s="371" t="str" cm="1">
        <f t="array" ref="N114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4" s="370"/>
      <c r="P114" s="372"/>
      <c r="Q114" s="373" t="str" cm="1">
        <f t="array" ref="Q114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4" s="372"/>
      <c r="S114" s="374"/>
      <c r="T114" s="375" t="str" cm="1">
        <f t="array" ref="T114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4" s="374"/>
      <c r="V114" s="673"/>
      <c r="W114" s="445" t="str" cm="1">
        <f t="array" ref="W114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14" s="673"/>
      <c r="Y114" s="674">
        <v>30</v>
      </c>
      <c r="Z114" s="446">
        <v>3</v>
      </c>
      <c r="AA114" s="674" t="s">
        <v>33</v>
      </c>
      <c r="AB114" s="380"/>
      <c r="AC114" s="381" t="str" cm="1">
        <f t="array" ref="AC114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4" s="380"/>
      <c r="AE114" s="382"/>
      <c r="AF114" s="383" t="str" cm="1">
        <f t="array" ref="AF114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4" s="382"/>
      <c r="AH114" s="384"/>
      <c r="AI114" s="385" t="str" cm="1">
        <f t="array" ref="AI114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4" s="384"/>
      <c r="AK114" s="386"/>
      <c r="AL114" s="387" t="str" cm="1">
        <f t="array" ref="AL114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4" s="386"/>
      <c r="AN114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14" s="389">
        <f>IF(ISERR(SEARCH("UP",Tabela_SP2[[#This Row],[Umiej.prakt.]],1)),0,Tabela_SP2[[#This Row],[ects.razem]])</f>
        <v>3</v>
      </c>
      <c r="AP114" s="390">
        <f>IF(Tabela_SP2[[#This Row],[czy.ects]]="TAK",ROUND((SUM(Tabela_SP2[[#This Row],[godziny.konsultacja]],Tabela_SP2[[#This Row],[godziny.egzamin]],Tabela_SP2[[#This Row],[godziny.zajec.razem]])/25)/0.5,0)*0.5,0)</f>
        <v>1.5</v>
      </c>
      <c r="AQ114" s="391">
        <f>SUM(Tabela_SP2[[#This Row],[godziny.samoksztalcenie]],Tabela_SP2[[#This Row],[godziny.konsultacja]],Tabela_SP2[[#This Row],[godziny.egzamin]],Tabela_SP2[[#This Row],[godziny.zajec.razem]])</f>
        <v>52</v>
      </c>
      <c r="AR114" s="392">
        <f>INT(SUM(Tabela_SP2[[#This Row],[godziny.konsultacja]],Tabela_SP2[[#This Row],[godziny.egzamin]],Tabela_SP2[[#This Row],[godziny.zajec.razem]])*0.5+Tabela_SP2[[#This Row],[godziny.zajec.razem]]*(15-$G$194)/9)</f>
        <v>17</v>
      </c>
      <c r="AS114" s="393">
        <f>INT(Tabela_SP2[[#This Row],[godziny.zajec.razem]]*0.1)</f>
        <v>3</v>
      </c>
      <c r="AT114" s="394">
        <f>IF(Tabela_SP2[[#This Row],[godziny.zajec.razem]]&gt;0,IF(Tabela_SP2[[#This Row],[godziny.zajec.razem]]&gt;=45,4,2),0)</f>
        <v>2</v>
      </c>
      <c r="AU114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14" s="396">
        <f>IF(Tabela_SP2[[#This Row],[ects.bezposr.nauczyciel]],Tabela_SP2[[#This Row],[ects.bezposr.nauczyciel]]/Tabela_SP2[[#This Row],[ects.razem]],0)</f>
        <v>0.5</v>
      </c>
      <c r="AW114" s="49"/>
    </row>
    <row r="115" spans="1:49" ht="25.5" customHeight="1" x14ac:dyDescent="0.3">
      <c r="A115" s="207"/>
      <c r="B115" s="397" t="s">
        <v>462</v>
      </c>
      <c r="C115" s="398" t="s">
        <v>576</v>
      </c>
      <c r="D115" s="362" t="s">
        <v>578</v>
      </c>
      <c r="E115" s="362" t="s">
        <v>604</v>
      </c>
      <c r="F115" s="401" t="s">
        <v>579</v>
      </c>
      <c r="G115" s="365"/>
      <c r="H115" s="366" t="s">
        <v>37</v>
      </c>
      <c r="I115" s="367" t="s">
        <v>32</v>
      </c>
      <c r="J115" s="368"/>
      <c r="K115" s="369" t="str" cm="1">
        <f t="array" ref="K115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5" s="368"/>
      <c r="M115" s="370"/>
      <c r="N115" s="371" t="str" cm="1">
        <f t="array" ref="N115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5" s="370"/>
      <c r="P115" s="372"/>
      <c r="Q115" s="373" t="str" cm="1">
        <f t="array" ref="Q115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5" s="372"/>
      <c r="S115" s="374"/>
      <c r="T115" s="375" t="str" cm="1">
        <f t="array" ref="T115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5" s="374"/>
      <c r="V115" s="673"/>
      <c r="W115" s="445" t="str" cm="1">
        <f t="array" ref="W115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15" s="673"/>
      <c r="Y115" s="674">
        <v>30</v>
      </c>
      <c r="Z115" s="446">
        <v>3</v>
      </c>
      <c r="AA115" s="674" t="s">
        <v>33</v>
      </c>
      <c r="AB115" s="380"/>
      <c r="AC115" s="381" t="str" cm="1">
        <f t="array" ref="AC115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5" s="380"/>
      <c r="AE115" s="382"/>
      <c r="AF115" s="383" t="str" cm="1">
        <f t="array" ref="AF115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5" s="382"/>
      <c r="AH115" s="384"/>
      <c r="AI115" s="385" t="str" cm="1">
        <f t="array" ref="AI115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5" s="384"/>
      <c r="AK115" s="386"/>
      <c r="AL115" s="387" t="str" cm="1">
        <f t="array" ref="AL115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5" s="386"/>
      <c r="AN115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3</v>
      </c>
      <c r="AO115" s="389">
        <f>IF(ISERR(SEARCH("UP",Tabela_SP2[[#This Row],[Umiej.prakt.]],1)),0,Tabela_SP2[[#This Row],[ects.razem]])</f>
        <v>3</v>
      </c>
      <c r="AP115" s="390">
        <f>IF(Tabela_SP2[[#This Row],[czy.ects]]="TAK",ROUND((SUM(Tabela_SP2[[#This Row],[godziny.konsultacja]],Tabela_SP2[[#This Row],[godziny.egzamin]],Tabela_SP2[[#This Row],[godziny.zajec.razem]])/25)/0.5,0)*0.5,0)</f>
        <v>1.5</v>
      </c>
      <c r="AQ115" s="391">
        <f>SUM(Tabela_SP2[[#This Row],[godziny.samoksztalcenie]],Tabela_SP2[[#This Row],[godziny.konsultacja]],Tabela_SP2[[#This Row],[godziny.egzamin]],Tabela_SP2[[#This Row],[godziny.zajec.razem]])</f>
        <v>52</v>
      </c>
      <c r="AR115" s="392">
        <f>INT(SUM(Tabela_SP2[[#This Row],[godziny.konsultacja]],Tabela_SP2[[#This Row],[godziny.egzamin]],Tabela_SP2[[#This Row],[godziny.zajec.razem]])*0.5+Tabela_SP2[[#This Row],[godziny.zajec.razem]]*(15-$G$194)/9)</f>
        <v>17</v>
      </c>
      <c r="AS115" s="393">
        <f>INT(Tabela_SP2[[#This Row],[godziny.zajec.razem]]*0.1)</f>
        <v>3</v>
      </c>
      <c r="AT115" s="394">
        <f>IF(Tabela_SP2[[#This Row],[godziny.zajec.razem]]&gt;0,IF(Tabela_SP2[[#This Row],[godziny.zajec.razem]]&gt;=45,4,2),0)</f>
        <v>2</v>
      </c>
      <c r="AU115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30</v>
      </c>
      <c r="AV115" s="396">
        <f>IF(Tabela_SP2[[#This Row],[ects.bezposr.nauczyciel]],Tabela_SP2[[#This Row],[ects.bezposr.nauczyciel]]/Tabela_SP2[[#This Row],[ects.razem]],0)</f>
        <v>0.5</v>
      </c>
      <c r="AW115" s="49"/>
    </row>
    <row r="116" spans="1:49" ht="25.5" customHeight="1" x14ac:dyDescent="0.3">
      <c r="A116" s="207"/>
      <c r="B116" s="397" t="s">
        <v>482</v>
      </c>
      <c r="C116" s="398" t="s">
        <v>486</v>
      </c>
      <c r="D116" s="362" t="s">
        <v>580</v>
      </c>
      <c r="E116" s="362" t="s">
        <v>604</v>
      </c>
      <c r="F116" s="401" t="s">
        <v>556</v>
      </c>
      <c r="G116" s="365"/>
      <c r="H116" s="366" t="s">
        <v>44</v>
      </c>
      <c r="I116" s="367" t="s">
        <v>32</v>
      </c>
      <c r="J116" s="368"/>
      <c r="K116" s="369" t="str" cm="1">
        <f t="array" ref="K116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6" s="368"/>
      <c r="M116" s="370"/>
      <c r="N116" s="371" t="str" cm="1">
        <f t="array" ref="N116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6" s="370"/>
      <c r="P116" s="372"/>
      <c r="Q116" s="373" t="str" cm="1">
        <f t="array" ref="Q116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6" s="372"/>
      <c r="S116" s="374"/>
      <c r="T116" s="375" t="str" cm="1">
        <f t="array" ref="T116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6" s="374"/>
      <c r="V116" s="673">
        <v>30</v>
      </c>
      <c r="W116" s="445">
        <v>3</v>
      </c>
      <c r="X116" s="673" t="s">
        <v>33</v>
      </c>
      <c r="Y116" s="674">
        <v>30</v>
      </c>
      <c r="Z116" s="446">
        <v>3</v>
      </c>
      <c r="AA116" s="674" t="s">
        <v>33</v>
      </c>
      <c r="AB116" s="380"/>
      <c r="AC116" s="381" t="str" cm="1">
        <f t="array" ref="AC116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6" s="380"/>
      <c r="AE116" s="382"/>
      <c r="AF116" s="383" t="str" cm="1">
        <f t="array" ref="AF116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6" s="382"/>
      <c r="AH116" s="384"/>
      <c r="AI116" s="385" t="str" cm="1">
        <f t="array" ref="AI116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6" s="384"/>
      <c r="AK116" s="386"/>
      <c r="AL116" s="387" t="str" cm="1">
        <f t="array" ref="AL116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6" s="386"/>
      <c r="AN116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6</v>
      </c>
      <c r="AO116" s="389">
        <f>IF(ISERR(SEARCH("UP",Tabela_SP2[[#This Row],[Umiej.prakt.]],1)),0,Tabela_SP2[[#This Row],[ects.razem]])</f>
        <v>6</v>
      </c>
      <c r="AP116" s="390">
        <f>IF(Tabela_SP2[[#This Row],[czy.ects]]="TAK",ROUND((SUM(Tabela_SP2[[#This Row],[godziny.konsultacja]],Tabela_SP2[[#This Row],[godziny.egzamin]],Tabela_SP2[[#This Row],[godziny.zajec.razem]])/25)/0.5,0)*0.5,0)</f>
        <v>3</v>
      </c>
      <c r="AQ116" s="391">
        <f>SUM(Tabela_SP2[[#This Row],[godziny.samoksztalcenie]],Tabela_SP2[[#This Row],[godziny.konsultacja]],Tabela_SP2[[#This Row],[godziny.egzamin]],Tabela_SP2[[#This Row],[godziny.zajec.razem]])</f>
        <v>105</v>
      </c>
      <c r="AR116" s="392">
        <f>INT(SUM(Tabela_SP2[[#This Row],[godziny.konsultacja]],Tabela_SP2[[#This Row],[godziny.egzamin]],Tabela_SP2[[#This Row],[godziny.zajec.razem]])*0.5+Tabela_SP2[[#This Row],[godziny.zajec.razem]]*(15-$G$194)/9)</f>
        <v>35</v>
      </c>
      <c r="AS116" s="393">
        <f>INT(Tabela_SP2[[#This Row],[godziny.zajec.razem]]*0.1)</f>
        <v>6</v>
      </c>
      <c r="AT116" s="394">
        <f>IF(Tabela_SP2[[#This Row],[godziny.zajec.razem]]&gt;0,IF(Tabela_SP2[[#This Row],[godziny.zajec.razem]]&gt;=45,4,2),0)</f>
        <v>4</v>
      </c>
      <c r="AU116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60</v>
      </c>
      <c r="AV116" s="396">
        <f>IF(Tabela_SP2[[#This Row],[ects.bezposr.nauczyciel]],Tabela_SP2[[#This Row],[ects.bezposr.nauczyciel]]/Tabela_SP2[[#This Row],[ects.razem]],0)</f>
        <v>0.5</v>
      </c>
      <c r="AW116" s="49"/>
    </row>
    <row r="117" spans="1:49" ht="25.5" customHeight="1" x14ac:dyDescent="0.3">
      <c r="A117" s="207"/>
      <c r="B117" s="397" t="s">
        <v>482</v>
      </c>
      <c r="C117" s="398" t="s">
        <v>486</v>
      </c>
      <c r="D117" s="362" t="s">
        <v>581</v>
      </c>
      <c r="E117" s="362"/>
      <c r="F117" s="399" t="s">
        <v>534</v>
      </c>
      <c r="G117" s="365"/>
      <c r="H117" s="366" t="s">
        <v>34</v>
      </c>
      <c r="I117" s="367" t="s">
        <v>367</v>
      </c>
      <c r="J117" s="368"/>
      <c r="K117" s="369" t="str" cm="1">
        <f t="array" ref="K117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7" s="368"/>
      <c r="M117" s="370"/>
      <c r="N117" s="371" t="str" cm="1">
        <f t="array" ref="N117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7" s="370"/>
      <c r="P117" s="372"/>
      <c r="Q117" s="373" t="str" cm="1">
        <f t="array" ref="Q117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7" s="372"/>
      <c r="S117" s="374">
        <v>15</v>
      </c>
      <c r="T117" s="375" t="str" cm="1">
        <f t="array" ref="T117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/>
      </c>
      <c r="U117" s="374" t="s">
        <v>48</v>
      </c>
      <c r="V117" s="673">
        <v>15</v>
      </c>
      <c r="W117" s="445" t="str" cm="1">
        <f t="array" ref="W117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/>
      </c>
      <c r="X117" s="673" t="s">
        <v>48</v>
      </c>
      <c r="Y117" s="674">
        <v>15</v>
      </c>
      <c r="Z117" s="446" t="str" cm="1">
        <f t="array" ref="Z117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/>
      </c>
      <c r="AA117" s="674" t="s">
        <v>48</v>
      </c>
      <c r="AB117" s="380"/>
      <c r="AC117" s="381" t="str" cm="1">
        <f t="array" ref="AC117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7" s="380"/>
      <c r="AE117" s="382"/>
      <c r="AF117" s="383" t="str" cm="1">
        <f t="array" ref="AF117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7" s="382"/>
      <c r="AH117" s="384"/>
      <c r="AI117" s="385" t="str" cm="1">
        <f t="array" ref="AI117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7" s="384"/>
      <c r="AK117" s="386"/>
      <c r="AL117" s="387" t="str" cm="1">
        <f t="array" ref="AL117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7" s="386"/>
      <c r="AN117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0</v>
      </c>
      <c r="AO117" s="389">
        <f>IF(ISERR(SEARCH("UP",Tabela_SP2[[#This Row],[Umiej.prakt.]],1)),0,Tabela_SP2[[#This Row],[ects.razem]])</f>
        <v>0</v>
      </c>
      <c r="AP117" s="390">
        <f>IF(Tabela_SP2[[#This Row],[czy.ects]]="TAK",ROUND((SUM(Tabela_SP2[[#This Row],[godziny.konsultacja]],Tabela_SP2[[#This Row],[godziny.egzamin]],Tabela_SP2[[#This Row],[godziny.zajec.razem]])/25)/0.5,0)*0.5,0)</f>
        <v>0</v>
      </c>
      <c r="AQ117" s="391">
        <f>SUM(Tabela_SP2[[#This Row],[godziny.samoksztalcenie]],Tabela_SP2[[#This Row],[godziny.konsultacja]],Tabela_SP2[[#This Row],[godziny.egzamin]],Tabela_SP2[[#This Row],[godziny.zajec.razem]])</f>
        <v>79</v>
      </c>
      <c r="AR117" s="392">
        <f>INT(SUM(Tabela_SP2[[#This Row],[godziny.konsultacja]],Tabela_SP2[[#This Row],[godziny.egzamin]],Tabela_SP2[[#This Row],[godziny.zajec.razem]])*0.5+Tabela_SP2[[#This Row],[godziny.zajec.razem]]*(15-$G$194)/9)</f>
        <v>26</v>
      </c>
      <c r="AS117" s="393">
        <f>INT(Tabela_SP2[[#This Row],[godziny.zajec.razem]]*0.1)</f>
        <v>4</v>
      </c>
      <c r="AT117" s="394">
        <f>IF(Tabela_SP2[[#This Row],[godziny.zajec.razem]]&gt;0,IF(Tabela_SP2[[#This Row],[godziny.zajec.razem]]&gt;=45,4,2),0)</f>
        <v>4</v>
      </c>
      <c r="AU117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45</v>
      </c>
      <c r="AV117" s="396">
        <f>IF(Tabela_SP2[[#This Row],[ects.bezposr.nauczyciel]],Tabela_SP2[[#This Row],[ects.bezposr.nauczyciel]]/Tabela_SP2[[#This Row],[ects.razem]],0)</f>
        <v>0</v>
      </c>
      <c r="AW117" s="49"/>
    </row>
    <row r="118" spans="1:49" ht="25.5" customHeight="1" x14ac:dyDescent="0.3">
      <c r="A118" s="207"/>
      <c r="B118" s="397" t="s">
        <v>482</v>
      </c>
      <c r="C118" s="398" t="s">
        <v>486</v>
      </c>
      <c r="D118" s="362" t="s">
        <v>582</v>
      </c>
      <c r="E118" s="362" t="s">
        <v>604</v>
      </c>
      <c r="F118" s="399" t="s">
        <v>611</v>
      </c>
      <c r="G118" s="365"/>
      <c r="H118" s="366" t="s">
        <v>43</v>
      </c>
      <c r="I118" s="367" t="s">
        <v>32</v>
      </c>
      <c r="J118" s="368"/>
      <c r="K118" s="369" t="str" cm="1">
        <f t="array" ref="K118">IF(Tabela_SP2[[#This Row],[czy.ects]]="TAK",_xlfn.IFS(AND(Tabela_SP2[[#This Row],[sem1.godziny]]&gt;=$Q$194,Tabela_SP2[[#This Row],[sem1.forma]]="z"),8,AND(Tabela_SP2[[#This Row],[sem1.godziny]]&gt;=$I$194,Tabela_SP2[[#This Row],[sem1.forma]]="z"),4,AND(Tabela_SP2[[#This Row],[sem1.godziny]]&gt;=$H$194,Tabela_SP2[[#This Row],[sem1.forma]]="e"),2,AND(Tabela_SP2[[#This Row],[sem1.godziny]]&lt;$H$194,Tabela_SP2[[#This Row],[sem1.forma]]="e"),1,AND(Tabela_SP2[[#This Row],[sem1.godziny]]&gt;=$H$194,Tabela_SP2[[#This Row],[sem1.forma]]="z"),2,AND(Tabela_SP2[[#This Row],[sem1.godziny]]&lt;$H$194,Tabela_SP2[[#This Row],[sem1.forma]]="z"),1,TRUE,""),"")</f>
        <v/>
      </c>
      <c r="L118" s="368"/>
      <c r="M118" s="370"/>
      <c r="N118" s="371" t="str" cm="1">
        <f t="array" ref="N118">IF(Tabela_SP2[[#This Row],[czy.ects]]="TAK",_xlfn.IFS(AND(Tabela_SP2[[#This Row],[sem2.godziny]]&gt;=$Q$194,Tabela_SP2[[#This Row],[sem2.forma]]="z"),8,AND(Tabela_SP2[[#This Row],[sem2.godziny]]&gt;=$I$194,Tabela_SP2[[#This Row],[sem2.forma]]="z"),4,AND(Tabela_SP2[[#This Row],[sem2.godziny]]&gt;=$H$194,Tabela_SP2[[#This Row],[sem2.forma]]="e"),2,AND(Tabela_SP2[[#This Row],[sem2.godziny]]&lt;$H$194,Tabela_SP2[[#This Row],[sem2.forma]]="e"),1,AND(Tabela_SP2[[#This Row],[sem2.godziny]]&gt;=$H$194,Tabela_SP2[[#This Row],[sem2.forma]]="z"),2,AND(Tabela_SP2[[#This Row],[sem2.godziny]]&lt;$H$194,Tabela_SP2[[#This Row],[sem2.forma]]="z"),1,TRUE,""),"")</f>
        <v/>
      </c>
      <c r="O118" s="370"/>
      <c r="P118" s="372"/>
      <c r="Q118" s="373" t="str" cm="1">
        <f t="array" ref="Q118">IF(Tabela_SP2[[#This Row],[czy.ects]]="TAK",_xlfn.IFS(AND(Tabela_SP2[[#This Row],[sem3.godziny]]&gt;=$Q$194,Tabela_SP2[[#This Row],[sem3.forma]]="z"),8,AND(Tabela_SP2[[#This Row],[sem3.godziny]]&gt;=$I$194,Tabela_SP2[[#This Row],[sem3.forma]]="z"),4,AND(Tabela_SP2[[#This Row],[sem3.godziny]]&gt;=$H$194,Tabela_SP2[[#This Row],[sem3.forma]]="e"),2,AND(Tabela_SP2[[#This Row],[sem3.godziny]]&lt;$H$194,Tabela_SP2[[#This Row],[sem3.forma]]="e"),1,AND(Tabela_SP2[[#This Row],[sem3.godziny]]&gt;=$H$194,Tabela_SP2[[#This Row],[sem3.forma]]="z"),2,AND(Tabela_SP2[[#This Row],[sem3.godziny]]&lt;$H$194,Tabela_SP2[[#This Row],[sem3.forma]]="z"),1,TRUE,""),"")</f>
        <v/>
      </c>
      <c r="R118" s="372"/>
      <c r="S118" s="374">
        <v>200</v>
      </c>
      <c r="T118" s="375" cm="1">
        <f t="array" ref="T118">IF(Tabela_SP2[[#This Row],[czy.ects]]="TAK",_xlfn.IFS(AND(Tabela_SP2[[#This Row],[sem4.godziny]]&gt;=$Q$194,Tabela_SP2[[#This Row],[sem4.forma]]="z"),8,AND(Tabela_SP2[[#This Row],[sem4.godziny]]&gt;=$I$194,Tabela_SP2[[#This Row],[sem4.forma]]="z"),4,AND(Tabela_SP2[[#This Row],[sem4.godziny]]&gt;=$H$194,Tabela_SP2[[#This Row],[sem4.forma]]="e"),2,AND(Tabela_SP2[[#This Row],[sem4.godziny]]&lt;$H$194,Tabela_SP2[[#This Row],[sem4.forma]]="e"),1,AND(Tabela_SP2[[#This Row],[sem4.godziny]]&gt;=$H$194,Tabela_SP2[[#This Row],[sem4.forma]]="z"),2,AND(Tabela_SP2[[#This Row],[sem4.godziny]]&lt;$H$194,Tabela_SP2[[#This Row],[sem4.forma]]="z"),1,TRUE,""),"")</f>
        <v>8</v>
      </c>
      <c r="U118" s="374" t="s">
        <v>33</v>
      </c>
      <c r="V118" s="673">
        <v>200</v>
      </c>
      <c r="W118" s="445" cm="1">
        <f t="array" ref="W118">IF(Tabela_SP2[[#This Row],[czy.ects]]="TAK",_xlfn.IFS(AND(Tabela_SP2[[#This Row],[sem5.godziny]]&gt;=$Q$194,Tabela_SP2[[#This Row],[sem5.forma]]="z"),8,AND(Tabela_SP2[[#This Row],[sem5.godziny]]&gt;=$I$194,Tabela_SP2[[#This Row],[sem5.forma]]="z"),4,AND(Tabela_SP2[[#This Row],[sem5.godziny]]&gt;=$H$194,Tabela_SP2[[#This Row],[sem5.forma]]="e"),2,AND(Tabela_SP2[[#This Row],[sem5.godziny]]&lt;$H$194,Tabela_SP2[[#This Row],[sem5.forma]]="e"),1,AND(Tabela_SP2[[#This Row],[sem5.godziny]]&gt;=$H$194,Tabela_SP2[[#This Row],[sem5.forma]]="z"),2,AND(Tabela_SP2[[#This Row],[sem5.godziny]]&lt;$H$194,Tabela_SP2[[#This Row],[sem5.forma]]="z"),1,TRUE,""),"")</f>
        <v>8</v>
      </c>
      <c r="X118" s="673" t="s">
        <v>33</v>
      </c>
      <c r="Y118" s="674">
        <v>208</v>
      </c>
      <c r="Z118" s="446" cm="1">
        <f t="array" ref="Z118">IF(Tabela_SP2[[#This Row],[czy.ects]]="TAK",_xlfn.IFS(AND(Tabela_SP2[[#This Row],[sem6.godziny]]&gt;=$Q$194,Tabela_SP2[[#This Row],[sem6.forma]]="z"),8,AND(Tabela_SP2[[#This Row],[sem6.godziny]]&gt;=$I$194,Tabela_SP2[[#This Row],[sem6.forma]]="z"),4,AND(Tabela_SP2[[#This Row],[sem6.godziny]]&gt;=$H$194,Tabela_SP2[[#This Row],[sem6.forma]]="e"),2,AND(Tabela_SP2[[#This Row],[sem6.godziny]]&lt;$H$194,Tabela_SP2[[#This Row],[sem6.forma]]="e"),1,AND(Tabela_SP2[[#This Row],[sem6.godziny]]&gt;=$H$194,Tabela_SP2[[#This Row],[sem6.forma]]="z"),2,AND(Tabela_SP2[[#This Row],[sem6.godziny]]&lt;$H$194,Tabela_SP2[[#This Row],[sem6.forma]]="z"),1,TRUE,""),"")</f>
        <v>8</v>
      </c>
      <c r="AA118" s="674" t="s">
        <v>33</v>
      </c>
      <c r="AB118" s="380"/>
      <c r="AC118" s="381" t="str" cm="1">
        <f t="array" ref="AC118">IF(Tabela_SP2[[#This Row],[czy.ects]]="TAK",_xlfn.IFS(AND(Tabela_SP2[[#This Row],[sem7.godziny]]&gt;=$Q$194,Tabela_SP2[[#This Row],[sem7.forma]]="z"),8,AND(Tabela_SP2[[#This Row],[sem7.godziny]]&gt;=$I$194,Tabela_SP2[[#This Row],[sem7.forma]]="z"),4,AND(Tabela_SP2[[#This Row],[sem7.godziny]]&gt;=$H$194,Tabela_SP2[[#This Row],[sem7.forma]]="e"),2,AND(Tabela_SP2[[#This Row],[sem7.godziny]]&lt;$H$194,Tabela_SP2[[#This Row],[sem7.forma]]="e"),1,AND(Tabela_SP2[[#This Row],[sem7.godziny]]&gt;=$H$194,Tabela_SP2[[#This Row],[sem7.forma]]="z"),2,AND(Tabela_SP2[[#This Row],[sem7.godziny]]&lt;$H$194,Tabela_SP2[[#This Row],[sem7.forma]]="z"),1,TRUE,""),"")</f>
        <v/>
      </c>
      <c r="AD118" s="380"/>
      <c r="AE118" s="382"/>
      <c r="AF118" s="383" t="str" cm="1">
        <f t="array" ref="AF118">IF(Tabela_SP2[[#This Row],[czy.ects]]="TAK",_xlfn.IFS(AND(Tabela_SP2[[#This Row],[sem8.godziny]]&gt;=$Q$194,Tabela_SP2[[#This Row],[sem8.forma]]="z"),8,AND(Tabela_SP2[[#This Row],[sem8.godziny]]&gt;=$I$194,Tabela_SP2[[#This Row],[sem8.forma]]="z"),4,AND(Tabela_SP2[[#This Row],[sem8.godziny]]&gt;=$H$194,Tabela_SP2[[#This Row],[sem8.forma]]="e"),2,AND(Tabela_SP2[[#This Row],[sem8.godziny]]&lt;$H$194,Tabela_SP2[[#This Row],[sem8.forma]]="e"),1,AND(Tabela_SP2[[#This Row],[sem8.godziny]]&gt;=$H$194,Tabela_SP2[[#This Row],[sem8.forma]]="z"),2,AND(Tabela_SP2[[#This Row],[sem8.godziny]]&lt;$H$194,Tabela_SP2[[#This Row],[sem8.forma]]="z"),1,TRUE,""),"")</f>
        <v/>
      </c>
      <c r="AG118" s="382"/>
      <c r="AH118" s="384"/>
      <c r="AI118" s="385" t="str" cm="1">
        <f t="array" ref="AI118">IF(Tabela_SP2[[#This Row],[czy.ects]]="TAK",_xlfn.IFS(AND(Tabela_SP2[[#This Row],[sem9.godziny]]&gt;=$Q$194,Tabela_SP2[[#This Row],[sem9.forma]]="z"),8,AND(Tabela_SP2[[#This Row],[sem9.godziny]]&gt;=$I$194,Tabela_SP2[[#This Row],[sem9.forma]]="z"),4,AND(Tabela_SP2[[#This Row],[sem9.godziny]]&gt;=$H$194,Tabela_SP2[[#This Row],[sem9.forma]]="e"),2,AND(Tabela_SP2[[#This Row],[sem9.godziny]]&lt;$H$194,Tabela_SP2[[#This Row],[sem9.forma]]="e"),1,AND(Tabela_SP2[[#This Row],[sem9.godziny]]&gt;=$H$194,Tabela_SP2[[#This Row],[sem9.forma]]="z"),2,AND(Tabela_SP2[[#This Row],[sem9.godziny]]&lt;$H$194,Tabela_SP2[[#This Row],[sem9.forma]]="z"),1,TRUE,""),"")</f>
        <v/>
      </c>
      <c r="AJ118" s="384"/>
      <c r="AK118" s="386"/>
      <c r="AL118" s="387" t="str" cm="1">
        <f t="array" ref="AL118">IF(Tabela_SP2[[#This Row],[czy.ects]]="TAK",_xlfn.IFS(AND(Tabela_SP2[[#This Row],[sem10.godziny]]&gt;=$Q$194,Tabela_SP2[[#This Row],[sem10.forma]]="z"),8,AND(Tabela_SP2[[#This Row],[sem10.godziny]]&gt;=$I$194,Tabela_SP2[[#This Row],[sem10.forma]]="z"),4,AND(Tabela_SP2[[#This Row],[sem10.godziny]]&gt;=$H$194,Tabela_SP2[[#This Row],[sem10.forma]]="e"),2,AND(Tabela_SP2[[#This Row],[sem10.godziny]]&lt;$H$194,Tabela_SP2[[#This Row],[sem10.forma]]="e"),1,AND(Tabela_SP2[[#This Row],[sem10.godziny]]&gt;=$H$194,Tabela_SP2[[#This Row],[sem10.forma]]="z"),2,AND(Tabela_SP2[[#This Row],[sem10.godziny]]&lt;$H$194,Tabela_SP2[[#This Row],[sem10.forma]]="z"),1,TRUE,""),"")</f>
        <v/>
      </c>
      <c r="AM118" s="386"/>
      <c r="AN118" s="388">
        <f>SUM(Tabela_SP2[[#This Row],[sem1.ects]],Tabela_SP2[[#This Row],[sem2.ects]],Tabela_SP2[[#This Row],[sem3.ects]],Tabela_SP2[[#This Row],[sem4.ects]],Tabela_SP2[[#This Row],[sem5.ects]],Tabela_SP2[[#This Row],[sem6.ects]],Tabela_SP2[[#This Row],[sem7.ects]],Tabela_SP2[[#This Row],[sem8.ects]],Tabela_SP2[[#This Row],[sem9.ects]],Tabela_SP2[[#This Row],[sem10.ects]])</f>
        <v>24</v>
      </c>
      <c r="AO118" s="389">
        <f>IF(ISERR(SEARCH("UP",Tabela_SP2[[#This Row],[Umiej.prakt.]],1)),0,Tabela_SP2[[#This Row],[ects.razem]])</f>
        <v>24</v>
      </c>
      <c r="AP118" s="390">
        <f>IF(Tabela_SP2[[#This Row],[czy.ects]]="TAK",ROUND((SUM(Tabela_SP2[[#This Row],[godziny.konsultacja]],Tabela_SP2[[#This Row],[godziny.egzamin]],Tabela_SP2[[#This Row],[godziny.zajec.razem]])/25)/0.5,0)*0.5,0)</f>
        <v>27</v>
      </c>
      <c r="AQ118" s="391">
        <f>SUM(Tabela_SP2[[#This Row],[godziny.samoksztalcenie]],Tabela_SP2[[#This Row],[godziny.konsultacja]],Tabela_SP2[[#This Row],[godziny.egzamin]],Tabela_SP2[[#This Row],[godziny.zajec.razem]])</f>
        <v>1008</v>
      </c>
      <c r="AR118" s="392">
        <f>INT(SUM(Tabela_SP2[[#This Row],[godziny.konsultacja]],Tabela_SP2[[#This Row],[godziny.egzamin]],Tabela_SP2[[#This Row],[godziny.zajec.razem]])*0.5+Tabela_SP2[[#This Row],[godziny.zajec.razem]]*(15-$G$194)/9)</f>
        <v>336</v>
      </c>
      <c r="AS118" s="393">
        <f>INT(Tabela_SP2[[#This Row],[godziny.zajec.razem]]*0.1)</f>
        <v>60</v>
      </c>
      <c r="AT118" s="394">
        <f>IF(Tabela_SP2[[#This Row],[godziny.zajec.razem]]&gt;0,IF(Tabela_SP2[[#This Row],[godziny.zajec.razem]]&gt;=45,4,2),0)</f>
        <v>4</v>
      </c>
      <c r="AU118" s="395">
        <f>SUM(Tabela_SP2[[#This Row],[sem1.godziny]],Tabela_SP2[[#This Row],[sem2.godziny]],Tabela_SP2[[#This Row],[sem3.godziny]],Tabela_SP2[[#This Row],[sem4.godziny]],Tabela_SP2[[#This Row],[sem5.godziny]],Tabela_SP2[[#This Row],[sem6.godziny]],Tabela_SP2[[#This Row],[sem7.godziny]],Tabela_SP2[[#This Row],[sem8.godziny]],Tabela_SP2[[#This Row],[sem9.godziny]],Tabela_SP2[[#This Row],[sem10.godziny]])</f>
        <v>608</v>
      </c>
      <c r="AV118" s="396">
        <f>IF(Tabela_SP2[[#This Row],[ects.bezposr.nauczyciel]],Tabela_SP2[[#This Row],[ects.bezposr.nauczyciel]]/Tabela_SP2[[#This Row],[ects.razem]],0)</f>
        <v>1.125</v>
      </c>
      <c r="AW118" s="49"/>
    </row>
    <row r="119" spans="1:49" s="360" customFormat="1" ht="8.25" customHeight="1" thickBot="1" x14ac:dyDescent="0.5">
      <c r="A119" s="207"/>
      <c r="B119" s="783"/>
      <c r="C119" s="783"/>
      <c r="D119" s="783"/>
      <c r="E119" s="783"/>
      <c r="F119" s="783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671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G119" s="520"/>
      <c r="AH119" s="520"/>
      <c r="AI119" s="520"/>
      <c r="AJ119" s="520"/>
      <c r="AK119" s="520"/>
      <c r="AL119" s="520"/>
      <c r="AM119" s="520"/>
      <c r="AN119" s="520"/>
      <c r="AO119" s="521"/>
      <c r="AP119" s="521"/>
      <c r="AQ119" s="521"/>
      <c r="AR119" s="521"/>
      <c r="AS119" s="521"/>
      <c r="AT119" s="521"/>
      <c r="AU119" s="521"/>
      <c r="AV119" s="521"/>
      <c r="AW119" s="207"/>
    </row>
    <row r="120" spans="1:49" ht="25.5" customHeight="1" thickBot="1" x14ac:dyDescent="0.35">
      <c r="A120" s="207"/>
      <c r="B120" s="762" t="s">
        <v>603</v>
      </c>
      <c r="C120" s="763"/>
      <c r="D120" s="763"/>
      <c r="E120" s="763"/>
      <c r="F120" s="763"/>
      <c r="G120" s="763"/>
      <c r="H120" s="763"/>
      <c r="I120" s="763"/>
      <c r="J120" s="464">
        <f>SUM(Tabela_SP3[sem1.godziny])</f>
        <v>0</v>
      </c>
      <c r="K120" s="464">
        <f>SUM(Tabela_SP3[sem1.ects])</f>
        <v>0</v>
      </c>
      <c r="L120" s="464"/>
      <c r="M120" s="464">
        <f>SUM(Tabela_SP3[sem2.godziny])</f>
        <v>0</v>
      </c>
      <c r="N120" s="464">
        <f>SUM(Tabela_SP3[sem2.ects])</f>
        <v>0</v>
      </c>
      <c r="O120" s="464"/>
      <c r="P120" s="464">
        <f>SUM(Tabela_SP3[sem3.godziny])</f>
        <v>0</v>
      </c>
      <c r="Q120" s="464">
        <f>SUM(Tabela_SP3[sem3.ects])</f>
        <v>0</v>
      </c>
      <c r="R120" s="464"/>
      <c r="S120" s="464">
        <f>SUM(Tabela_SP3[sem4.godziny])</f>
        <v>275</v>
      </c>
      <c r="T120" s="464">
        <f>SUM(Tabela_SP3[sem4.ects])</f>
        <v>14</v>
      </c>
      <c r="U120" s="464"/>
      <c r="V120" s="464">
        <f>SUM(Tabela_SP3[sem5.godziny])</f>
        <v>350</v>
      </c>
      <c r="W120" s="464">
        <f>SUM(Tabela_SP3[sem5.ects])</f>
        <v>21</v>
      </c>
      <c r="X120" s="464"/>
      <c r="Y120" s="464">
        <f>SUM(Tabela_SP3[sem6.godziny])</f>
        <v>358</v>
      </c>
      <c r="Z120" s="464">
        <f>SUM(Tabela_SP3[sem6.ects])</f>
        <v>21</v>
      </c>
      <c r="AA120" s="464"/>
      <c r="AB120" s="464">
        <f>SUM(Tabela_SP3[sem7.godziny])</f>
        <v>0</v>
      </c>
      <c r="AC120" s="464">
        <f>SUM(Tabela_SP3[sem7.ects])</f>
        <v>0</v>
      </c>
      <c r="AD120" s="464"/>
      <c r="AE120" s="464">
        <f>SUM(Tabela_SP3[sem8.godziny])</f>
        <v>0</v>
      </c>
      <c r="AF120" s="464">
        <f>SUM(Tabela_SP3[sem8.ects])</f>
        <v>0</v>
      </c>
      <c r="AG120" s="464"/>
      <c r="AH120" s="464">
        <f>SUM(Tabela_SP3[sem9.godziny])</f>
        <v>0</v>
      </c>
      <c r="AI120" s="464">
        <f>SUM(Tabela_SP3[sem9.ects])</f>
        <v>0</v>
      </c>
      <c r="AJ120" s="464"/>
      <c r="AK120" s="464">
        <f>SUM(Tabela_SP3[sem10.godziny])</f>
        <v>0</v>
      </c>
      <c r="AL120" s="464">
        <f>SUM(Tabela_SP3[sem10.ects])</f>
        <v>0</v>
      </c>
      <c r="AM120" s="464"/>
      <c r="AN120" s="464">
        <f>SUM(Tabela_SP3[ects.razem])</f>
        <v>56</v>
      </c>
      <c r="AO120" s="464">
        <f>SUM(Tabela_SP3[ects.umiej.prakt.])</f>
        <v>56</v>
      </c>
      <c r="AP120" s="464">
        <f>SUM(Tabela_SP3[ects.bezposr.nauczyciel])</f>
        <v>43</v>
      </c>
      <c r="AQ120" s="464">
        <f>SUM(Tabela_SP3[godziny.razem.student])</f>
        <v>1662</v>
      </c>
      <c r="AR120" s="464">
        <f>SUM(Tabela_SP3[godziny.samoksztalcenie])</f>
        <v>551</v>
      </c>
      <c r="AS120" s="464">
        <f>SUM(Tabela_SP3[godziny.konsultacja])</f>
        <v>96</v>
      </c>
      <c r="AT120" s="464">
        <f>SUM(Tabela_SP3[godziny.egzamin])</f>
        <v>32</v>
      </c>
      <c r="AU120" s="464">
        <f>SUM(Tabela_SP3[godziny.zajec.razem])</f>
        <v>983</v>
      </c>
      <c r="AV120" s="465"/>
      <c r="AW120" s="207"/>
    </row>
    <row r="121" spans="1:49" ht="25.5" hidden="1" customHeight="1" x14ac:dyDescent="0.3">
      <c r="A121" s="207"/>
      <c r="B121" s="466" t="s">
        <v>374</v>
      </c>
      <c r="C121" s="467" t="s">
        <v>373</v>
      </c>
      <c r="D121" s="467" t="s">
        <v>372</v>
      </c>
      <c r="E121" s="467" t="s">
        <v>371</v>
      </c>
      <c r="F121" s="468" t="s">
        <v>368</v>
      </c>
      <c r="G121" s="469" t="s">
        <v>369</v>
      </c>
      <c r="H121" s="470" t="s">
        <v>370</v>
      </c>
      <c r="I121" s="471" t="s">
        <v>375</v>
      </c>
      <c r="J121" s="472" t="s">
        <v>376</v>
      </c>
      <c r="K121" s="473" t="s">
        <v>377</v>
      </c>
      <c r="L121" s="472" t="s">
        <v>378</v>
      </c>
      <c r="M121" s="474" t="s">
        <v>379</v>
      </c>
      <c r="N121" s="475" t="s">
        <v>380</v>
      </c>
      <c r="O121" s="474" t="s">
        <v>381</v>
      </c>
      <c r="P121" s="476" t="s">
        <v>382</v>
      </c>
      <c r="Q121" s="477" t="s">
        <v>383</v>
      </c>
      <c r="R121" s="476" t="s">
        <v>384</v>
      </c>
      <c r="S121" s="478" t="s">
        <v>385</v>
      </c>
      <c r="T121" s="479" t="s">
        <v>386</v>
      </c>
      <c r="U121" s="478" t="s">
        <v>387</v>
      </c>
      <c r="V121" s="480" t="s">
        <v>388</v>
      </c>
      <c r="W121" s="481" t="s">
        <v>389</v>
      </c>
      <c r="X121" s="480" t="s">
        <v>390</v>
      </c>
      <c r="Y121" s="482" t="s">
        <v>391</v>
      </c>
      <c r="Z121" s="483" t="s">
        <v>392</v>
      </c>
      <c r="AA121" s="482" t="s">
        <v>393</v>
      </c>
      <c r="AB121" s="484" t="s">
        <v>394</v>
      </c>
      <c r="AC121" s="485" t="s">
        <v>395</v>
      </c>
      <c r="AD121" s="484" t="s">
        <v>396</v>
      </c>
      <c r="AE121" s="423" t="s">
        <v>409</v>
      </c>
      <c r="AF121" s="423" t="s">
        <v>410</v>
      </c>
      <c r="AG121" s="423" t="s">
        <v>411</v>
      </c>
      <c r="AH121" s="425" t="s">
        <v>412</v>
      </c>
      <c r="AI121" s="425" t="s">
        <v>413</v>
      </c>
      <c r="AJ121" s="425" t="s">
        <v>414</v>
      </c>
      <c r="AK121" s="427" t="s">
        <v>415</v>
      </c>
      <c r="AL121" s="427" t="s">
        <v>416</v>
      </c>
      <c r="AM121" s="427" t="s">
        <v>417</v>
      </c>
      <c r="AN121" s="486" t="s">
        <v>397</v>
      </c>
      <c r="AO121" s="487" t="s">
        <v>398</v>
      </c>
      <c r="AP121" s="488" t="s">
        <v>399</v>
      </c>
      <c r="AQ121" s="489" t="s">
        <v>400</v>
      </c>
      <c r="AR121" s="490" t="s">
        <v>401</v>
      </c>
      <c r="AS121" s="491" t="s">
        <v>402</v>
      </c>
      <c r="AT121" s="473" t="s">
        <v>403</v>
      </c>
      <c r="AU121" s="492" t="s">
        <v>404</v>
      </c>
      <c r="AV121" s="493" t="s">
        <v>405</v>
      </c>
      <c r="AW121" s="207"/>
    </row>
    <row r="122" spans="1:49" ht="25.5" customHeight="1" x14ac:dyDescent="0.3">
      <c r="A122" s="207"/>
      <c r="B122" s="402" t="s">
        <v>482</v>
      </c>
      <c r="C122" s="403">
        <v>501</v>
      </c>
      <c r="D122" s="403" t="s">
        <v>584</v>
      </c>
      <c r="E122" s="362" t="s">
        <v>604</v>
      </c>
      <c r="F122" s="404" t="s">
        <v>585</v>
      </c>
      <c r="G122" s="405"/>
      <c r="H122" s="406" t="s">
        <v>37</v>
      </c>
      <c r="I122" s="407" t="s">
        <v>32</v>
      </c>
      <c r="J122" s="408"/>
      <c r="K122" s="409" t="str" cm="1">
        <f t="array" ref="K122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2" s="408"/>
      <c r="M122" s="410"/>
      <c r="N122" s="411" t="str" cm="1">
        <f t="array" ref="N122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2" s="410"/>
      <c r="P122" s="412"/>
      <c r="Q122" s="413" t="str" cm="1">
        <f t="array" ref="Q122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2" s="412"/>
      <c r="S122" s="414">
        <v>30</v>
      </c>
      <c r="T122" s="415">
        <v>3</v>
      </c>
      <c r="U122" s="414" t="s">
        <v>33</v>
      </c>
      <c r="V122" s="416"/>
      <c r="W122" s="417" t="str" cm="1">
        <f t="array" ref="W122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22" s="416"/>
      <c r="Y122" s="418"/>
      <c r="Z122" s="419" t="str" cm="1">
        <f t="array" ref="Z122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22" s="418"/>
      <c r="AB122" s="420"/>
      <c r="AC122" s="421" t="str" cm="1">
        <f t="array" ref="AC122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2" s="420"/>
      <c r="AE122" s="422"/>
      <c r="AF122" s="423" t="str" cm="1">
        <f t="array" ref="AF122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2" s="422"/>
      <c r="AH122" s="424"/>
      <c r="AI122" s="425" t="str" cm="1">
        <f t="array" ref="AI122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2" s="424"/>
      <c r="AK122" s="426"/>
      <c r="AL122" s="427" t="str" cm="1">
        <f t="array" ref="AL122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2" s="426"/>
      <c r="AN122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2" s="429">
        <f>IF(ISERR(SEARCH("UP",Tabela_SP3[[#This Row],[Umiej.prakt.]],1)),0,Tabela_SP3[[#This Row],[ects.razem]])</f>
        <v>3</v>
      </c>
      <c r="AP122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2" s="431">
        <f>SUM(Tabela_SP3[[#This Row],[godziny.samoksztalcenie]],Tabela_SP3[[#This Row],[godziny.konsultacja]],Tabela_SP3[[#This Row],[godziny.egzamin]],Tabela_SP3[[#This Row],[godziny.zajec.razem]])</f>
        <v>52</v>
      </c>
      <c r="AR122" s="432">
        <f>INT(SUM(Tabela_SP3[[#This Row],[godziny.konsultacja]],Tabela_SP3[[#This Row],[godziny.egzamin]],Tabela_SP3[[#This Row],[godziny.zajec.razem]])*0.5+Tabela_SP3[[#This Row],[godziny.zajec.razem]]*(15-$G$191)/9)</f>
        <v>17</v>
      </c>
      <c r="AS122" s="433">
        <f>INT(Tabela_SP3[[#This Row],[godziny.zajec.razem]]*0.1)</f>
        <v>3</v>
      </c>
      <c r="AT122" s="409">
        <f>IF(Tabela_SP3[[#This Row],[godziny.zajec.razem]]&gt;0,IF(Tabela_SP3[[#This Row],[godziny.zajec.razem]]&gt;=45,4,2),0)</f>
        <v>2</v>
      </c>
      <c r="AU122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2" s="435">
        <f>IF(Tabela_SP3[[#This Row],[ects.bezposr.nauczyciel]],Tabela_SP3[[#This Row],[ects.bezposr.nauczyciel]]/Tabela_SP3[[#This Row],[ects.razem]],0)</f>
        <v>0.5</v>
      </c>
      <c r="AW122" s="207"/>
    </row>
    <row r="123" spans="1:49" ht="25.5" customHeight="1" x14ac:dyDescent="0.3">
      <c r="A123" s="207"/>
      <c r="B123" s="402" t="s">
        <v>462</v>
      </c>
      <c r="C123" s="403">
        <v>505</v>
      </c>
      <c r="D123" s="403" t="s">
        <v>586</v>
      </c>
      <c r="E123" s="362" t="s">
        <v>604</v>
      </c>
      <c r="F123" s="404" t="s">
        <v>587</v>
      </c>
      <c r="G123" s="405"/>
      <c r="H123" s="406" t="s">
        <v>37</v>
      </c>
      <c r="I123" s="407" t="s">
        <v>32</v>
      </c>
      <c r="J123" s="408"/>
      <c r="K123" s="409" t="str" cm="1">
        <f t="array" ref="K123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3" s="408"/>
      <c r="M123" s="410"/>
      <c r="N123" s="411" t="str" cm="1">
        <f t="array" ref="N123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3" s="410"/>
      <c r="P123" s="412"/>
      <c r="Q123" s="413" t="str" cm="1">
        <f t="array" ref="Q123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3" s="412"/>
      <c r="S123" s="414">
        <v>30</v>
      </c>
      <c r="T123" s="415">
        <v>3</v>
      </c>
      <c r="U123" s="414" t="s">
        <v>33</v>
      </c>
      <c r="V123" s="416"/>
      <c r="W123" s="417" t="str" cm="1">
        <f t="array" ref="W123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23" s="416"/>
      <c r="Y123" s="418"/>
      <c r="Z123" s="419" t="str" cm="1">
        <f t="array" ref="Z123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23" s="418"/>
      <c r="AB123" s="420"/>
      <c r="AC123" s="421" t="str" cm="1">
        <f t="array" ref="AC123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3" s="420"/>
      <c r="AE123" s="422"/>
      <c r="AF123" s="423" t="str" cm="1">
        <f t="array" ref="AF123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3" s="422"/>
      <c r="AH123" s="424"/>
      <c r="AI123" s="425" t="str" cm="1">
        <f t="array" ref="AI123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3" s="424"/>
      <c r="AK123" s="426"/>
      <c r="AL123" s="427" t="str" cm="1">
        <f t="array" ref="AL123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3" s="426"/>
      <c r="AN123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3" s="429">
        <f>IF(ISERR(SEARCH("UP",Tabela_SP3[[#This Row],[Umiej.prakt.]],1)),0,Tabela_SP3[[#This Row],[ects.razem]])</f>
        <v>3</v>
      </c>
      <c r="AP123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3" s="431">
        <f>SUM(Tabela_SP3[[#This Row],[godziny.samoksztalcenie]],Tabela_SP3[[#This Row],[godziny.konsultacja]],Tabela_SP3[[#This Row],[godziny.egzamin]],Tabela_SP3[[#This Row],[godziny.zajec.razem]])</f>
        <v>52</v>
      </c>
      <c r="AR123" s="432">
        <f>INT(SUM(Tabela_SP3[[#This Row],[godziny.konsultacja]],Tabela_SP3[[#This Row],[godziny.egzamin]],Tabela_SP3[[#This Row],[godziny.zajec.razem]])*0.5+Tabela_SP3[[#This Row],[godziny.zajec.razem]]*(15-$G$191)/9)</f>
        <v>17</v>
      </c>
      <c r="AS123" s="433">
        <f>INT(Tabela_SP3[[#This Row],[godziny.zajec.razem]]*0.1)</f>
        <v>3</v>
      </c>
      <c r="AT123" s="409">
        <f>IF(Tabela_SP3[[#This Row],[godziny.zajec.razem]]&gt;0,IF(Tabela_SP3[[#This Row],[godziny.zajec.razem]]&gt;=45,4,2),0)</f>
        <v>2</v>
      </c>
      <c r="AU123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3" s="435">
        <f>IF(Tabela_SP3[[#This Row],[ects.bezposr.nauczyciel]],Tabela_SP3[[#This Row],[ects.bezposr.nauczyciel]]/Tabela_SP3[[#This Row],[ects.razem]],0)</f>
        <v>0.5</v>
      </c>
      <c r="AW123" s="207"/>
    </row>
    <row r="124" spans="1:49" ht="25.5" customHeight="1" x14ac:dyDescent="0.3">
      <c r="A124" s="207"/>
      <c r="B124" s="402" t="s">
        <v>462</v>
      </c>
      <c r="C124" s="403">
        <v>506</v>
      </c>
      <c r="D124" s="403" t="s">
        <v>588</v>
      </c>
      <c r="E124" s="362" t="s">
        <v>604</v>
      </c>
      <c r="F124" s="404" t="s">
        <v>592</v>
      </c>
      <c r="G124" s="405"/>
      <c r="H124" s="406" t="s">
        <v>37</v>
      </c>
      <c r="I124" s="407" t="s">
        <v>32</v>
      </c>
      <c r="J124" s="408"/>
      <c r="K124" s="409" t="str" cm="1">
        <f t="array" ref="K124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4" s="408"/>
      <c r="M124" s="410"/>
      <c r="N124" s="411" t="str" cm="1">
        <f t="array" ref="N124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4" s="410"/>
      <c r="P124" s="412"/>
      <c r="Q124" s="413" t="str" cm="1">
        <f t="array" ref="Q124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4" s="412"/>
      <c r="S124" s="414"/>
      <c r="T124" s="415" t="str" cm="1">
        <f t="array" ref="T124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24" s="414"/>
      <c r="V124" s="416">
        <v>30</v>
      </c>
      <c r="W124" s="417">
        <v>3</v>
      </c>
      <c r="X124" s="416" t="s">
        <v>33</v>
      </c>
      <c r="Y124" s="418"/>
      <c r="Z124" s="419" t="str" cm="1">
        <f t="array" ref="Z124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24" s="418"/>
      <c r="AB124" s="420"/>
      <c r="AC124" s="421" t="str" cm="1">
        <f t="array" ref="AC124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4" s="420"/>
      <c r="AE124" s="422"/>
      <c r="AF124" s="423" t="str" cm="1">
        <f t="array" ref="AF124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4" s="422"/>
      <c r="AH124" s="424"/>
      <c r="AI124" s="425" t="str" cm="1">
        <f t="array" ref="AI124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4" s="424"/>
      <c r="AK124" s="426"/>
      <c r="AL124" s="427" t="str" cm="1">
        <f t="array" ref="AL124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4" s="426"/>
      <c r="AN124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4" s="429">
        <f>IF(ISERR(SEARCH("UP",Tabela_SP3[[#This Row],[Umiej.prakt.]],1)),0,Tabela_SP3[[#This Row],[ects.razem]])</f>
        <v>3</v>
      </c>
      <c r="AP124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4" s="431">
        <f>SUM(Tabela_SP3[[#This Row],[godziny.samoksztalcenie]],Tabela_SP3[[#This Row],[godziny.konsultacja]],Tabela_SP3[[#This Row],[godziny.egzamin]],Tabela_SP3[[#This Row],[godziny.zajec.razem]])</f>
        <v>52</v>
      </c>
      <c r="AR124" s="432">
        <f>INT(SUM(Tabela_SP3[[#This Row],[godziny.konsultacja]],Tabela_SP3[[#This Row],[godziny.egzamin]],Tabela_SP3[[#This Row],[godziny.zajec.razem]])*0.5+Tabela_SP3[[#This Row],[godziny.zajec.razem]]*(15-$G$191)/9)</f>
        <v>17</v>
      </c>
      <c r="AS124" s="433">
        <f>INT(Tabela_SP3[[#This Row],[godziny.zajec.razem]]*0.1)</f>
        <v>3</v>
      </c>
      <c r="AT124" s="409">
        <f>IF(Tabela_SP3[[#This Row],[godziny.zajec.razem]]&gt;0,IF(Tabela_SP3[[#This Row],[godziny.zajec.razem]]&gt;=45,4,2),0)</f>
        <v>2</v>
      </c>
      <c r="AU124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4" s="435">
        <f>IF(Tabela_SP3[[#This Row],[ects.bezposr.nauczyciel]],Tabela_SP3[[#This Row],[ects.bezposr.nauczyciel]]/Tabela_SP3[[#This Row],[ects.razem]],0)</f>
        <v>0.5</v>
      </c>
      <c r="AW124" s="207"/>
    </row>
    <row r="125" spans="1:49" ht="25.5" customHeight="1" x14ac:dyDescent="0.3">
      <c r="A125" s="207"/>
      <c r="B125" s="402" t="s">
        <v>482</v>
      </c>
      <c r="C125" s="403">
        <v>501</v>
      </c>
      <c r="D125" s="403" t="s">
        <v>590</v>
      </c>
      <c r="E125" s="362" t="s">
        <v>604</v>
      </c>
      <c r="F125" s="404" t="s">
        <v>589</v>
      </c>
      <c r="G125" s="405"/>
      <c r="H125" s="406" t="s">
        <v>37</v>
      </c>
      <c r="I125" s="407" t="s">
        <v>32</v>
      </c>
      <c r="J125" s="408"/>
      <c r="K125" s="409" t="str" cm="1">
        <f t="array" ref="K125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5" s="408"/>
      <c r="M125" s="410"/>
      <c r="N125" s="411" t="str" cm="1">
        <f t="array" ref="N125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5" s="410"/>
      <c r="P125" s="412"/>
      <c r="Q125" s="413" t="str" cm="1">
        <f t="array" ref="Q125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5" s="412"/>
      <c r="S125" s="414"/>
      <c r="T125" s="415" t="str" cm="1">
        <f t="array" ref="T125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25" s="414"/>
      <c r="V125" s="416">
        <v>15</v>
      </c>
      <c r="W125" s="417" cm="1">
        <f t="array" ref="W125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>1</v>
      </c>
      <c r="X125" s="416" t="s">
        <v>33</v>
      </c>
      <c r="Y125" s="418"/>
      <c r="Z125" s="419" t="str" cm="1">
        <f t="array" ref="Z125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25" s="418"/>
      <c r="AB125" s="420"/>
      <c r="AC125" s="421" t="str" cm="1">
        <f t="array" ref="AC125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5" s="420"/>
      <c r="AE125" s="422"/>
      <c r="AF125" s="423" t="str" cm="1">
        <f t="array" ref="AF125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5" s="422"/>
      <c r="AH125" s="424"/>
      <c r="AI125" s="425" t="str" cm="1">
        <f t="array" ref="AI125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5" s="424"/>
      <c r="AK125" s="426"/>
      <c r="AL125" s="427" t="str" cm="1">
        <f t="array" ref="AL125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5" s="426"/>
      <c r="AN125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1</v>
      </c>
      <c r="AO125" s="429">
        <f>IF(ISERR(SEARCH("UP",Tabela_SP3[[#This Row],[Umiej.prakt.]],1)),0,Tabela_SP3[[#This Row],[ects.razem]])</f>
        <v>1</v>
      </c>
      <c r="AP125" s="430">
        <f>IF(Tabela_SP3[[#This Row],[czy.ects]]="TAK",ROUND((SUM(Tabela_SP3[[#This Row],[godziny.konsultacja]],Tabela_SP3[[#This Row],[godziny.egzamin]],Tabela_SP3[[#This Row],[godziny.zajec.razem]])/25)/0.5,0)*0.5,0)</f>
        <v>0.5</v>
      </c>
      <c r="AQ125" s="431">
        <f>SUM(Tabela_SP3[[#This Row],[godziny.samoksztalcenie]],Tabela_SP3[[#This Row],[godziny.konsultacja]],Tabela_SP3[[#This Row],[godziny.egzamin]],Tabela_SP3[[#This Row],[godziny.zajec.razem]])</f>
        <v>27</v>
      </c>
      <c r="AR125" s="432">
        <f>INT(SUM(Tabela_SP3[[#This Row],[godziny.konsultacja]],Tabela_SP3[[#This Row],[godziny.egzamin]],Tabela_SP3[[#This Row],[godziny.zajec.razem]])*0.5+Tabela_SP3[[#This Row],[godziny.zajec.razem]]*(15-$G$191)/9)</f>
        <v>9</v>
      </c>
      <c r="AS125" s="433">
        <f>INT(Tabela_SP3[[#This Row],[godziny.zajec.razem]]*0.1)</f>
        <v>1</v>
      </c>
      <c r="AT125" s="409">
        <f>IF(Tabela_SP3[[#This Row],[godziny.zajec.razem]]&gt;0,IF(Tabela_SP3[[#This Row],[godziny.zajec.razem]]&gt;=45,4,2),0)</f>
        <v>2</v>
      </c>
      <c r="AU125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15</v>
      </c>
      <c r="AV125" s="435">
        <f>IF(Tabela_SP3[[#This Row],[ects.bezposr.nauczyciel]],Tabela_SP3[[#This Row],[ects.bezposr.nauczyciel]]/Tabela_SP3[[#This Row],[ects.razem]],0)</f>
        <v>0.5</v>
      </c>
      <c r="AW125" s="207"/>
    </row>
    <row r="126" spans="1:49" ht="25.5" customHeight="1" x14ac:dyDescent="0.3">
      <c r="A126" s="207"/>
      <c r="B126" s="402" t="s">
        <v>482</v>
      </c>
      <c r="C126" s="403">
        <v>501</v>
      </c>
      <c r="D126" s="403" t="s">
        <v>593</v>
      </c>
      <c r="E126" s="362" t="s">
        <v>604</v>
      </c>
      <c r="F126" s="404" t="s">
        <v>591</v>
      </c>
      <c r="G126" s="405"/>
      <c r="H126" s="406" t="s">
        <v>37</v>
      </c>
      <c r="I126" s="407" t="s">
        <v>32</v>
      </c>
      <c r="J126" s="408"/>
      <c r="K126" s="409" t="str" cm="1">
        <f t="array" ref="K126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6" s="408"/>
      <c r="M126" s="410"/>
      <c r="N126" s="411" t="str" cm="1">
        <f t="array" ref="N126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6" s="410"/>
      <c r="P126" s="412"/>
      <c r="Q126" s="413" t="str" cm="1">
        <f t="array" ref="Q126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6" s="412"/>
      <c r="S126" s="414"/>
      <c r="T126" s="415" t="str" cm="1">
        <f t="array" ref="T126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26" s="414"/>
      <c r="V126" s="416">
        <v>30</v>
      </c>
      <c r="W126" s="417">
        <v>3</v>
      </c>
      <c r="X126" s="416" t="s">
        <v>33</v>
      </c>
      <c r="Y126" s="418"/>
      <c r="Z126" s="419" t="str" cm="1">
        <f t="array" ref="Z126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26" s="418"/>
      <c r="AB126" s="420"/>
      <c r="AC126" s="421" t="str" cm="1">
        <f t="array" ref="AC126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6" s="420"/>
      <c r="AE126" s="422"/>
      <c r="AF126" s="423" t="str" cm="1">
        <f t="array" ref="AF126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6" s="422"/>
      <c r="AH126" s="424"/>
      <c r="AI126" s="425" t="str" cm="1">
        <f t="array" ref="AI126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6" s="424"/>
      <c r="AK126" s="426"/>
      <c r="AL126" s="427" t="str" cm="1">
        <f t="array" ref="AL126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6" s="426"/>
      <c r="AN126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6" s="429">
        <f>IF(ISERR(SEARCH("UP",Tabela_SP3[[#This Row],[Umiej.prakt.]],1)),0,Tabela_SP3[[#This Row],[ects.razem]])</f>
        <v>3</v>
      </c>
      <c r="AP126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6" s="431">
        <f>SUM(Tabela_SP3[[#This Row],[godziny.samoksztalcenie]],Tabela_SP3[[#This Row],[godziny.konsultacja]],Tabela_SP3[[#This Row],[godziny.egzamin]],Tabela_SP3[[#This Row],[godziny.zajec.razem]])</f>
        <v>52</v>
      </c>
      <c r="AR126" s="432">
        <f>INT(SUM(Tabela_SP3[[#This Row],[godziny.konsultacja]],Tabela_SP3[[#This Row],[godziny.egzamin]],Tabela_SP3[[#This Row],[godziny.zajec.razem]])*0.5+Tabela_SP3[[#This Row],[godziny.zajec.razem]]*(15-$G$191)/9)</f>
        <v>17</v>
      </c>
      <c r="AS126" s="433">
        <f>INT(Tabela_SP3[[#This Row],[godziny.zajec.razem]]*0.1)</f>
        <v>3</v>
      </c>
      <c r="AT126" s="409">
        <f>IF(Tabela_SP3[[#This Row],[godziny.zajec.razem]]&gt;0,IF(Tabela_SP3[[#This Row],[godziny.zajec.razem]]&gt;=45,4,2),0)</f>
        <v>2</v>
      </c>
      <c r="AU126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6" s="435">
        <f>IF(Tabela_SP3[[#This Row],[ects.bezposr.nauczyciel]],Tabela_SP3[[#This Row],[ects.bezposr.nauczyciel]]/Tabela_SP3[[#This Row],[ects.razem]],0)</f>
        <v>0.5</v>
      </c>
      <c r="AW126" s="207"/>
    </row>
    <row r="127" spans="1:49" ht="25.5" customHeight="1" x14ac:dyDescent="0.3">
      <c r="A127" s="207"/>
      <c r="B127" s="402" t="s">
        <v>482</v>
      </c>
      <c r="C127" s="403">
        <v>501</v>
      </c>
      <c r="D127" s="403" t="s">
        <v>594</v>
      </c>
      <c r="E127" s="362" t="s">
        <v>604</v>
      </c>
      <c r="F127" s="404" t="s">
        <v>591</v>
      </c>
      <c r="G127" s="405"/>
      <c r="H127" s="406" t="s">
        <v>31</v>
      </c>
      <c r="I127" s="407" t="s">
        <v>32</v>
      </c>
      <c r="J127" s="408"/>
      <c r="K127" s="409" t="str" cm="1">
        <f t="array" ref="K127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7" s="408"/>
      <c r="M127" s="410"/>
      <c r="N127" s="411" t="str" cm="1">
        <f t="array" ref="N127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7" s="410"/>
      <c r="P127" s="412"/>
      <c r="Q127" s="413" t="str" cm="1">
        <f t="array" ref="Q127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7" s="412"/>
      <c r="S127" s="414"/>
      <c r="T127" s="415" t="str" cm="1">
        <f t="array" ref="T127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27" s="414"/>
      <c r="V127" s="416">
        <v>30</v>
      </c>
      <c r="W127" s="417">
        <v>3</v>
      </c>
      <c r="X127" s="416" t="s">
        <v>33</v>
      </c>
      <c r="Y127" s="418"/>
      <c r="Z127" s="419" t="str" cm="1">
        <f t="array" ref="Z127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27" s="418"/>
      <c r="AB127" s="420"/>
      <c r="AC127" s="421" t="str" cm="1">
        <f t="array" ref="AC127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7" s="420"/>
      <c r="AE127" s="422"/>
      <c r="AF127" s="423" t="str" cm="1">
        <f t="array" ref="AF127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7" s="422"/>
      <c r="AH127" s="424"/>
      <c r="AI127" s="425" t="str" cm="1">
        <f t="array" ref="AI127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7" s="424"/>
      <c r="AK127" s="426"/>
      <c r="AL127" s="427" t="str" cm="1">
        <f t="array" ref="AL127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7" s="426"/>
      <c r="AN127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7" s="429">
        <f>IF(ISERR(SEARCH("UP",Tabela_SP3[[#This Row],[Umiej.prakt.]],1)),0,Tabela_SP3[[#This Row],[ects.razem]])</f>
        <v>3</v>
      </c>
      <c r="AP127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7" s="431">
        <f>SUM(Tabela_SP3[[#This Row],[godziny.samoksztalcenie]],Tabela_SP3[[#This Row],[godziny.konsultacja]],Tabela_SP3[[#This Row],[godziny.egzamin]],Tabela_SP3[[#This Row],[godziny.zajec.razem]])</f>
        <v>52</v>
      </c>
      <c r="AR127" s="432">
        <f>INT(SUM(Tabela_SP3[[#This Row],[godziny.konsultacja]],Tabela_SP3[[#This Row],[godziny.egzamin]],Tabela_SP3[[#This Row],[godziny.zajec.razem]])*0.5+Tabela_SP3[[#This Row],[godziny.zajec.razem]]*(15-$G$191)/9)</f>
        <v>17</v>
      </c>
      <c r="AS127" s="433">
        <f>INT(Tabela_SP3[[#This Row],[godziny.zajec.razem]]*0.1)</f>
        <v>3</v>
      </c>
      <c r="AT127" s="409">
        <f>IF(Tabela_SP3[[#This Row],[godziny.zajec.razem]]&gt;0,IF(Tabela_SP3[[#This Row],[godziny.zajec.razem]]&gt;=45,4,2),0)</f>
        <v>2</v>
      </c>
      <c r="AU127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7" s="435">
        <f>IF(Tabela_SP3[[#This Row],[ects.bezposr.nauczyciel]],Tabela_SP3[[#This Row],[ects.bezposr.nauczyciel]]/Tabela_SP3[[#This Row],[ects.razem]],0)</f>
        <v>0.5</v>
      </c>
      <c r="AW127" s="207"/>
    </row>
    <row r="128" spans="1:49" ht="25.5" customHeight="1" x14ac:dyDescent="0.3">
      <c r="A128" s="207"/>
      <c r="B128" s="402" t="s">
        <v>482</v>
      </c>
      <c r="C128" s="403">
        <v>501</v>
      </c>
      <c r="D128" s="403" t="s">
        <v>595</v>
      </c>
      <c r="E128" s="362" t="s">
        <v>604</v>
      </c>
      <c r="F128" s="404" t="s">
        <v>597</v>
      </c>
      <c r="G128" s="405"/>
      <c r="H128" s="406" t="s">
        <v>37</v>
      </c>
      <c r="I128" s="407" t="s">
        <v>32</v>
      </c>
      <c r="J128" s="408"/>
      <c r="K128" s="409" t="str" cm="1">
        <f t="array" ref="K128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8" s="408"/>
      <c r="M128" s="410"/>
      <c r="N128" s="411" t="str" cm="1">
        <f t="array" ref="N128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8" s="410"/>
      <c r="P128" s="412"/>
      <c r="Q128" s="413" t="str" cm="1">
        <f t="array" ref="Q128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8" s="412"/>
      <c r="S128" s="414"/>
      <c r="T128" s="415" t="str" cm="1">
        <f t="array" ref="T128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28" s="414"/>
      <c r="V128" s="416"/>
      <c r="W128" s="417" t="str" cm="1">
        <f t="array" ref="W128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28" s="416"/>
      <c r="Y128" s="418">
        <v>30</v>
      </c>
      <c r="Z128" s="419">
        <v>3</v>
      </c>
      <c r="AA128" s="418" t="s">
        <v>33</v>
      </c>
      <c r="AB128" s="420"/>
      <c r="AC128" s="421" t="str" cm="1">
        <f t="array" ref="AC128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8" s="420"/>
      <c r="AE128" s="422"/>
      <c r="AF128" s="423" t="str" cm="1">
        <f t="array" ref="AF128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8" s="422"/>
      <c r="AH128" s="424"/>
      <c r="AI128" s="425" t="str" cm="1">
        <f t="array" ref="AI128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8" s="424"/>
      <c r="AK128" s="426"/>
      <c r="AL128" s="427" t="str" cm="1">
        <f t="array" ref="AL128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8" s="426"/>
      <c r="AN128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8" s="429">
        <f>IF(ISERR(SEARCH("UP",Tabela_SP3[[#This Row],[Umiej.prakt.]],1)),0,Tabela_SP3[[#This Row],[ects.razem]])</f>
        <v>3</v>
      </c>
      <c r="AP128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8" s="431">
        <f>SUM(Tabela_SP3[[#This Row],[godziny.samoksztalcenie]],Tabela_SP3[[#This Row],[godziny.konsultacja]],Tabela_SP3[[#This Row],[godziny.egzamin]],Tabela_SP3[[#This Row],[godziny.zajec.razem]])</f>
        <v>52</v>
      </c>
      <c r="AR128" s="432">
        <f>INT(SUM(Tabela_SP3[[#This Row],[godziny.konsultacja]],Tabela_SP3[[#This Row],[godziny.egzamin]],Tabela_SP3[[#This Row],[godziny.zajec.razem]])*0.5+Tabela_SP3[[#This Row],[godziny.zajec.razem]]*(15-$G$191)/9)</f>
        <v>17</v>
      </c>
      <c r="AS128" s="433">
        <f>INT(Tabela_SP3[[#This Row],[godziny.zajec.razem]]*0.1)</f>
        <v>3</v>
      </c>
      <c r="AT128" s="409">
        <f>IF(Tabela_SP3[[#This Row],[godziny.zajec.razem]]&gt;0,IF(Tabela_SP3[[#This Row],[godziny.zajec.razem]]&gt;=45,4,2),0)</f>
        <v>2</v>
      </c>
      <c r="AU128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8" s="435">
        <f>IF(Tabela_SP3[[#This Row],[ects.bezposr.nauczyciel]],Tabela_SP3[[#This Row],[ects.bezposr.nauczyciel]]/Tabela_SP3[[#This Row],[ects.razem]],0)</f>
        <v>0.5</v>
      </c>
      <c r="AW128" s="207"/>
    </row>
    <row r="129" spans="1:49" ht="25.5" customHeight="1" x14ac:dyDescent="0.3">
      <c r="A129" s="207"/>
      <c r="B129" s="402" t="s">
        <v>482</v>
      </c>
      <c r="C129" s="403">
        <v>501</v>
      </c>
      <c r="D129" s="403" t="s">
        <v>596</v>
      </c>
      <c r="E129" s="362" t="s">
        <v>604</v>
      </c>
      <c r="F129" s="404" t="s">
        <v>597</v>
      </c>
      <c r="G129" s="405"/>
      <c r="H129" s="406" t="s">
        <v>31</v>
      </c>
      <c r="I129" s="407" t="s">
        <v>32</v>
      </c>
      <c r="J129" s="408"/>
      <c r="K129" s="409" t="str" cm="1">
        <f t="array" ref="K129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29" s="408"/>
      <c r="M129" s="410"/>
      <c r="N129" s="411" t="str" cm="1">
        <f t="array" ref="N129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29" s="410"/>
      <c r="P129" s="412"/>
      <c r="Q129" s="413" t="str" cm="1">
        <f t="array" ref="Q129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29" s="412"/>
      <c r="S129" s="414"/>
      <c r="T129" s="415" t="str" cm="1">
        <f t="array" ref="T129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29" s="414"/>
      <c r="V129" s="416"/>
      <c r="W129" s="417" t="str" cm="1">
        <f t="array" ref="W129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29" s="416"/>
      <c r="Y129" s="418">
        <v>30</v>
      </c>
      <c r="Z129" s="419">
        <v>3</v>
      </c>
      <c r="AA129" s="418" t="s">
        <v>33</v>
      </c>
      <c r="AB129" s="420"/>
      <c r="AC129" s="421" t="str" cm="1">
        <f t="array" ref="AC129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29" s="420"/>
      <c r="AE129" s="422"/>
      <c r="AF129" s="423" t="str" cm="1">
        <f t="array" ref="AF129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29" s="422"/>
      <c r="AH129" s="424"/>
      <c r="AI129" s="425" t="str" cm="1">
        <f t="array" ref="AI129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29" s="424"/>
      <c r="AK129" s="426"/>
      <c r="AL129" s="427" t="str" cm="1">
        <f t="array" ref="AL129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29" s="426"/>
      <c r="AN129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29" s="429">
        <f>IF(ISERR(SEARCH("UP",Tabela_SP3[[#This Row],[Umiej.prakt.]],1)),0,Tabela_SP3[[#This Row],[ects.razem]])</f>
        <v>3</v>
      </c>
      <c r="AP129" s="430">
        <f>IF(Tabela_SP3[[#This Row],[czy.ects]]="TAK",ROUND((SUM(Tabela_SP3[[#This Row],[godziny.konsultacja]],Tabela_SP3[[#This Row],[godziny.egzamin]],Tabela_SP3[[#This Row],[godziny.zajec.razem]])/25)/0.5,0)*0.5,0)</f>
        <v>1.5</v>
      </c>
      <c r="AQ129" s="431">
        <f>SUM(Tabela_SP3[[#This Row],[godziny.samoksztalcenie]],Tabela_SP3[[#This Row],[godziny.konsultacja]],Tabela_SP3[[#This Row],[godziny.egzamin]],Tabela_SP3[[#This Row],[godziny.zajec.razem]])</f>
        <v>52</v>
      </c>
      <c r="AR129" s="432">
        <f>INT(SUM(Tabela_SP3[[#This Row],[godziny.konsultacja]],Tabela_SP3[[#This Row],[godziny.egzamin]],Tabela_SP3[[#This Row],[godziny.zajec.razem]])*0.5+Tabela_SP3[[#This Row],[godziny.zajec.razem]]*(15-$G$191)/9)</f>
        <v>17</v>
      </c>
      <c r="AS129" s="433">
        <f>INT(Tabela_SP3[[#This Row],[godziny.zajec.razem]]*0.1)</f>
        <v>3</v>
      </c>
      <c r="AT129" s="409">
        <f>IF(Tabela_SP3[[#This Row],[godziny.zajec.razem]]&gt;0,IF(Tabela_SP3[[#This Row],[godziny.zajec.razem]]&gt;=45,4,2),0)</f>
        <v>2</v>
      </c>
      <c r="AU129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29" s="435">
        <f>IF(Tabela_SP3[[#This Row],[ects.bezposr.nauczyciel]],Tabela_SP3[[#This Row],[ects.bezposr.nauczyciel]]/Tabela_SP3[[#This Row],[ects.razem]],0)</f>
        <v>0.5</v>
      </c>
      <c r="AW129" s="207"/>
    </row>
    <row r="130" spans="1:49" ht="25.5" customHeight="1" x14ac:dyDescent="0.3">
      <c r="A130" s="207"/>
      <c r="B130" s="402" t="s">
        <v>482</v>
      </c>
      <c r="C130" s="403">
        <v>501</v>
      </c>
      <c r="D130" s="403" t="s">
        <v>598</v>
      </c>
      <c r="E130" s="362" t="s">
        <v>604</v>
      </c>
      <c r="F130" s="404" t="s">
        <v>607</v>
      </c>
      <c r="G130" s="405"/>
      <c r="H130" s="406" t="s">
        <v>37</v>
      </c>
      <c r="I130" s="407" t="s">
        <v>32</v>
      </c>
      <c r="J130" s="408"/>
      <c r="K130" s="409" t="str" cm="1">
        <f t="array" ref="K130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30" s="408"/>
      <c r="M130" s="410"/>
      <c r="N130" s="411" t="str" cm="1">
        <f t="array" ref="N130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30" s="410"/>
      <c r="P130" s="412"/>
      <c r="Q130" s="413" t="str" cm="1">
        <f t="array" ref="Q130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30" s="412"/>
      <c r="S130" s="414"/>
      <c r="T130" s="415" t="str" cm="1">
        <f t="array" ref="T130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30" s="414"/>
      <c r="V130" s="416"/>
      <c r="W130" s="417" t="str" cm="1">
        <f t="array" ref="W130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30" s="416"/>
      <c r="Y130" s="418">
        <v>15</v>
      </c>
      <c r="Z130" s="419" cm="1">
        <f t="array" ref="Z130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>1</v>
      </c>
      <c r="AA130" s="418" t="s">
        <v>33</v>
      </c>
      <c r="AB130" s="420"/>
      <c r="AC130" s="421" t="str" cm="1">
        <f t="array" ref="AC130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30" s="420"/>
      <c r="AE130" s="422"/>
      <c r="AF130" s="423" t="str" cm="1">
        <f t="array" ref="AF130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30" s="422"/>
      <c r="AH130" s="424"/>
      <c r="AI130" s="425" t="str" cm="1">
        <f t="array" ref="AI130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30" s="424"/>
      <c r="AK130" s="426"/>
      <c r="AL130" s="427" t="str" cm="1">
        <f t="array" ref="AL130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30" s="426"/>
      <c r="AN130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1</v>
      </c>
      <c r="AO130" s="429">
        <f>IF(ISERR(SEARCH("UP",Tabela_SP3[[#This Row],[Umiej.prakt.]],1)),0,Tabela_SP3[[#This Row],[ects.razem]])</f>
        <v>1</v>
      </c>
      <c r="AP130" s="430">
        <f>IF(Tabela_SP3[[#This Row],[czy.ects]]="TAK",ROUND((SUM(Tabela_SP3[[#This Row],[godziny.konsultacja]],Tabela_SP3[[#This Row],[godziny.egzamin]],Tabela_SP3[[#This Row],[godziny.zajec.razem]])/25)/0.5,0)*0.5,0)</f>
        <v>0.5</v>
      </c>
      <c r="AQ130" s="431">
        <f>SUM(Tabela_SP3[[#This Row],[godziny.samoksztalcenie]],Tabela_SP3[[#This Row],[godziny.konsultacja]],Tabela_SP3[[#This Row],[godziny.egzamin]],Tabela_SP3[[#This Row],[godziny.zajec.razem]])</f>
        <v>27</v>
      </c>
      <c r="AR130" s="432">
        <f>INT(SUM(Tabela_SP3[[#This Row],[godziny.konsultacja]],Tabela_SP3[[#This Row],[godziny.egzamin]],Tabela_SP3[[#This Row],[godziny.zajec.razem]])*0.5+Tabela_SP3[[#This Row],[godziny.zajec.razem]]*(15-$G$191)/9)</f>
        <v>9</v>
      </c>
      <c r="AS130" s="433">
        <f>INT(Tabela_SP3[[#This Row],[godziny.zajec.razem]]*0.1)</f>
        <v>1</v>
      </c>
      <c r="AT130" s="409">
        <f>IF(Tabela_SP3[[#This Row],[godziny.zajec.razem]]&gt;0,IF(Tabela_SP3[[#This Row],[godziny.zajec.razem]]&gt;=45,4,2),0)</f>
        <v>2</v>
      </c>
      <c r="AU130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15</v>
      </c>
      <c r="AV130" s="435">
        <f>IF(Tabela_SP3[[#This Row],[ects.bezposr.nauczyciel]],Tabela_SP3[[#This Row],[ects.bezposr.nauczyciel]]/Tabela_SP3[[#This Row],[ects.razem]],0)</f>
        <v>0.5</v>
      </c>
      <c r="AW130" s="207"/>
    </row>
    <row r="131" spans="1:49" ht="25.5" customHeight="1" x14ac:dyDescent="0.3">
      <c r="A131" s="207"/>
      <c r="B131" s="402" t="s">
        <v>482</v>
      </c>
      <c r="C131" s="403">
        <v>501</v>
      </c>
      <c r="D131" s="403" t="s">
        <v>599</v>
      </c>
      <c r="E131" s="362" t="s">
        <v>604</v>
      </c>
      <c r="F131" s="404" t="s">
        <v>607</v>
      </c>
      <c r="G131" s="405"/>
      <c r="H131" s="406" t="s">
        <v>31</v>
      </c>
      <c r="I131" s="407" t="s">
        <v>32</v>
      </c>
      <c r="J131" s="408"/>
      <c r="K131" s="409" t="str" cm="1">
        <f t="array" ref="K131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31" s="408"/>
      <c r="M131" s="410"/>
      <c r="N131" s="411" t="str" cm="1">
        <f t="array" ref="N131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31" s="410"/>
      <c r="P131" s="412"/>
      <c r="Q131" s="413" t="str" cm="1">
        <f t="array" ref="Q131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31" s="412"/>
      <c r="S131" s="414"/>
      <c r="T131" s="415" t="str" cm="1">
        <f t="array" ref="T131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31" s="414"/>
      <c r="V131" s="416"/>
      <c r="W131" s="417" t="str" cm="1">
        <f t="array" ref="W131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31" s="416"/>
      <c r="Y131" s="418">
        <v>30</v>
      </c>
      <c r="Z131" s="419">
        <v>3</v>
      </c>
      <c r="AA131" s="418" t="s">
        <v>33</v>
      </c>
      <c r="AB131" s="420"/>
      <c r="AC131" s="421" t="str" cm="1">
        <f t="array" ref="AC131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31" s="420"/>
      <c r="AE131" s="422"/>
      <c r="AF131" s="423" t="str" cm="1">
        <f t="array" ref="AF131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31" s="422"/>
      <c r="AH131" s="424"/>
      <c r="AI131" s="425" t="str" cm="1">
        <f t="array" ref="AI131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31" s="424"/>
      <c r="AK131" s="426"/>
      <c r="AL131" s="427" t="str" cm="1">
        <f t="array" ref="AL131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31" s="426"/>
      <c r="AN131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3</v>
      </c>
      <c r="AO131" s="429">
        <f>IF(ISERR(SEARCH("UP",Tabela_SP3[[#This Row],[Umiej.prakt.]],1)),0,Tabela_SP3[[#This Row],[ects.razem]])</f>
        <v>3</v>
      </c>
      <c r="AP131" s="430">
        <f>IF(Tabela_SP3[[#This Row],[czy.ects]]="TAK",ROUND((SUM(Tabela_SP3[[#This Row],[godziny.konsultacja]],Tabela_SP3[[#This Row],[godziny.egzamin]],Tabela_SP3[[#This Row],[godziny.zajec.razem]])/25)/0.5,0)*0.5,0)</f>
        <v>1.5</v>
      </c>
      <c r="AQ131" s="431">
        <f>SUM(Tabela_SP3[[#This Row],[godziny.samoksztalcenie]],Tabela_SP3[[#This Row],[godziny.konsultacja]],Tabela_SP3[[#This Row],[godziny.egzamin]],Tabela_SP3[[#This Row],[godziny.zajec.razem]])</f>
        <v>52</v>
      </c>
      <c r="AR131" s="432">
        <f>INT(SUM(Tabela_SP3[[#This Row],[godziny.konsultacja]],Tabela_SP3[[#This Row],[godziny.egzamin]],Tabela_SP3[[#This Row],[godziny.zajec.razem]])*0.5+Tabela_SP3[[#This Row],[godziny.zajec.razem]]*(15-$G$191)/9)</f>
        <v>17</v>
      </c>
      <c r="AS131" s="433">
        <f>INT(Tabela_SP3[[#This Row],[godziny.zajec.razem]]*0.1)</f>
        <v>3</v>
      </c>
      <c r="AT131" s="409">
        <f>IF(Tabela_SP3[[#This Row],[godziny.zajec.razem]]&gt;0,IF(Tabela_SP3[[#This Row],[godziny.zajec.razem]]&gt;=45,4,2),0)</f>
        <v>2</v>
      </c>
      <c r="AU131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30</v>
      </c>
      <c r="AV131" s="435">
        <f>IF(Tabela_SP3[[#This Row],[ects.bezposr.nauczyciel]],Tabela_SP3[[#This Row],[ects.bezposr.nauczyciel]]/Tabela_SP3[[#This Row],[ects.razem]],0)</f>
        <v>0.5</v>
      </c>
      <c r="AW131" s="207"/>
    </row>
    <row r="132" spans="1:49" ht="25.5" customHeight="1" x14ac:dyDescent="0.3">
      <c r="A132" s="207"/>
      <c r="B132" s="402" t="s">
        <v>482</v>
      </c>
      <c r="C132" s="403">
        <v>501</v>
      </c>
      <c r="D132" s="403" t="s">
        <v>600</v>
      </c>
      <c r="E132" s="362" t="s">
        <v>604</v>
      </c>
      <c r="F132" s="404" t="s">
        <v>556</v>
      </c>
      <c r="G132" s="405"/>
      <c r="H132" s="406" t="s">
        <v>44</v>
      </c>
      <c r="I132" s="407" t="s">
        <v>32</v>
      </c>
      <c r="J132" s="408"/>
      <c r="K132" s="409" t="str" cm="1">
        <f t="array" ref="K132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32" s="408"/>
      <c r="M132" s="410"/>
      <c r="N132" s="411" t="str" cm="1">
        <f t="array" ref="N132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32" s="410"/>
      <c r="P132" s="412"/>
      <c r="Q132" s="413" t="str" cm="1">
        <f t="array" ref="Q132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32" s="412"/>
      <c r="S132" s="414"/>
      <c r="T132" s="415" t="str" cm="1">
        <f t="array" ref="T132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32" s="414"/>
      <c r="V132" s="416">
        <v>30</v>
      </c>
      <c r="W132" s="417">
        <v>3</v>
      </c>
      <c r="X132" s="416" t="s">
        <v>33</v>
      </c>
      <c r="Y132" s="418">
        <v>30</v>
      </c>
      <c r="Z132" s="419">
        <v>3</v>
      </c>
      <c r="AA132" s="418" t="s">
        <v>33</v>
      </c>
      <c r="AB132" s="420"/>
      <c r="AC132" s="421" t="str" cm="1">
        <f t="array" ref="AC132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32" s="420"/>
      <c r="AE132" s="422"/>
      <c r="AF132" s="423" t="str" cm="1">
        <f t="array" ref="AF132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32" s="422"/>
      <c r="AH132" s="424"/>
      <c r="AI132" s="425" t="str" cm="1">
        <f t="array" ref="AI132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32" s="424"/>
      <c r="AK132" s="426"/>
      <c r="AL132" s="427" t="str" cm="1">
        <f t="array" ref="AL132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32" s="426"/>
      <c r="AN132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6</v>
      </c>
      <c r="AO132" s="429">
        <f>IF(ISERR(SEARCH("UP",Tabela_SP3[[#This Row],[Umiej.prakt.]],1)),0,Tabela_SP3[[#This Row],[ects.razem]])</f>
        <v>6</v>
      </c>
      <c r="AP132" s="430">
        <f>IF(Tabela_SP3[[#This Row],[czy.ects]]="TAK",ROUND((SUM(Tabela_SP3[[#This Row],[godziny.konsultacja]],Tabela_SP3[[#This Row],[godziny.egzamin]],Tabela_SP3[[#This Row],[godziny.zajec.razem]])/25)/0.5,0)*0.5,0)</f>
        <v>3</v>
      </c>
      <c r="AQ132" s="431">
        <f>SUM(Tabela_SP3[[#This Row],[godziny.samoksztalcenie]],Tabela_SP3[[#This Row],[godziny.konsultacja]],Tabela_SP3[[#This Row],[godziny.egzamin]],Tabela_SP3[[#This Row],[godziny.zajec.razem]])</f>
        <v>105</v>
      </c>
      <c r="AR132" s="432">
        <f>INT(SUM(Tabela_SP3[[#This Row],[godziny.konsultacja]],Tabela_SP3[[#This Row],[godziny.egzamin]],Tabela_SP3[[#This Row],[godziny.zajec.razem]])*0.5+Tabela_SP3[[#This Row],[godziny.zajec.razem]]*(15-$G$191)/9)</f>
        <v>35</v>
      </c>
      <c r="AS132" s="433">
        <f>INT(Tabela_SP3[[#This Row],[godziny.zajec.razem]]*0.1)</f>
        <v>6</v>
      </c>
      <c r="AT132" s="409">
        <f>IF(Tabela_SP3[[#This Row],[godziny.zajec.razem]]&gt;0,IF(Tabela_SP3[[#This Row],[godziny.zajec.razem]]&gt;=45,4,2),0)</f>
        <v>4</v>
      </c>
      <c r="AU132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60</v>
      </c>
      <c r="AV132" s="435">
        <f>IF(Tabela_SP3[[#This Row],[ects.bezposr.nauczyciel]],Tabela_SP3[[#This Row],[ects.bezposr.nauczyciel]]/Tabela_SP3[[#This Row],[ects.razem]],0)</f>
        <v>0.5</v>
      </c>
      <c r="AW132" s="207"/>
    </row>
    <row r="133" spans="1:49" ht="25.5" customHeight="1" x14ac:dyDescent="0.3">
      <c r="A133" s="207"/>
      <c r="B133" s="402" t="s">
        <v>482</v>
      </c>
      <c r="C133" s="403">
        <v>501</v>
      </c>
      <c r="D133" s="403" t="s">
        <v>601</v>
      </c>
      <c r="E133" s="362"/>
      <c r="F133" s="404" t="s">
        <v>534</v>
      </c>
      <c r="G133" s="405"/>
      <c r="H133" s="406" t="s">
        <v>34</v>
      </c>
      <c r="I133" s="407" t="s">
        <v>367</v>
      </c>
      <c r="J133" s="408"/>
      <c r="K133" s="409" t="str" cm="1">
        <f t="array" ref="K133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33" s="408"/>
      <c r="M133" s="410"/>
      <c r="N133" s="411" t="str" cm="1">
        <f t="array" ref="N133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33" s="410"/>
      <c r="P133" s="412"/>
      <c r="Q133" s="413" t="str" cm="1">
        <f t="array" ref="Q133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33" s="412"/>
      <c r="S133" s="414">
        <v>15</v>
      </c>
      <c r="T133" s="415" t="str" cm="1">
        <f t="array" ref="T133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/>
      </c>
      <c r="U133" s="414" t="s">
        <v>48</v>
      </c>
      <c r="V133" s="416">
        <v>15</v>
      </c>
      <c r="W133" s="417" t="str" cm="1">
        <f t="array" ref="W133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/>
      </c>
      <c r="X133" s="416" t="s">
        <v>48</v>
      </c>
      <c r="Y133" s="418">
        <v>15</v>
      </c>
      <c r="Z133" s="419" t="str" cm="1">
        <f t="array" ref="Z133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/>
      </c>
      <c r="AA133" s="418" t="s">
        <v>48</v>
      </c>
      <c r="AB133" s="420"/>
      <c r="AC133" s="421" t="str" cm="1">
        <f t="array" ref="AC133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33" s="420"/>
      <c r="AE133" s="422"/>
      <c r="AF133" s="423" t="str" cm="1">
        <f t="array" ref="AF133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33" s="422"/>
      <c r="AH133" s="424"/>
      <c r="AI133" s="425" t="str" cm="1">
        <f t="array" ref="AI133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33" s="424"/>
      <c r="AK133" s="426"/>
      <c r="AL133" s="427" t="str" cm="1">
        <f t="array" ref="AL133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33" s="426"/>
      <c r="AN133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0</v>
      </c>
      <c r="AO133" s="429">
        <f>IF(ISERR(SEARCH("UP",Tabela_SP3[[#This Row],[Umiej.prakt.]],1)),0,Tabela_SP3[[#This Row],[ects.razem]])</f>
        <v>0</v>
      </c>
      <c r="AP133" s="430">
        <f>IF(Tabela_SP3[[#This Row],[czy.ects]]="TAK",ROUND((SUM(Tabela_SP3[[#This Row],[godziny.konsultacja]],Tabela_SP3[[#This Row],[godziny.egzamin]],Tabela_SP3[[#This Row],[godziny.zajec.razem]])/25)/0.5,0)*0.5,0)</f>
        <v>0</v>
      </c>
      <c r="AQ133" s="431">
        <f>SUM(Tabela_SP3[[#This Row],[godziny.samoksztalcenie]],Tabela_SP3[[#This Row],[godziny.konsultacja]],Tabela_SP3[[#This Row],[godziny.egzamin]],Tabela_SP3[[#This Row],[godziny.zajec.razem]])</f>
        <v>79</v>
      </c>
      <c r="AR133" s="432">
        <f>INT(SUM(Tabela_SP3[[#This Row],[godziny.konsultacja]],Tabela_SP3[[#This Row],[godziny.egzamin]],Tabela_SP3[[#This Row],[godziny.zajec.razem]])*0.5+Tabela_SP3[[#This Row],[godziny.zajec.razem]]*(15-$G$191)/9)</f>
        <v>26</v>
      </c>
      <c r="AS133" s="433">
        <f>INT(Tabela_SP3[[#This Row],[godziny.zajec.razem]]*0.1)</f>
        <v>4</v>
      </c>
      <c r="AT133" s="409">
        <f>IF(Tabela_SP3[[#This Row],[godziny.zajec.razem]]&gt;0,IF(Tabela_SP3[[#This Row],[godziny.zajec.razem]]&gt;=45,4,2),0)</f>
        <v>4</v>
      </c>
      <c r="AU133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45</v>
      </c>
      <c r="AV133" s="435">
        <f>IF(Tabela_SP3[[#This Row],[ects.bezposr.nauczyciel]],Tabela_SP3[[#This Row],[ects.bezposr.nauczyciel]]/Tabela_SP3[[#This Row],[ects.razem]],0)</f>
        <v>0</v>
      </c>
      <c r="AW133" s="207"/>
    </row>
    <row r="134" spans="1:49" ht="25.5" customHeight="1" x14ac:dyDescent="0.3">
      <c r="A134" s="207"/>
      <c r="B134" s="402" t="s">
        <v>482</v>
      </c>
      <c r="C134" s="403">
        <v>501</v>
      </c>
      <c r="D134" s="403" t="s">
        <v>602</v>
      </c>
      <c r="E134" s="363" t="s">
        <v>604</v>
      </c>
      <c r="F134" s="404" t="s">
        <v>611</v>
      </c>
      <c r="G134" s="405"/>
      <c r="H134" s="406" t="s">
        <v>43</v>
      </c>
      <c r="I134" s="407" t="s">
        <v>32</v>
      </c>
      <c r="J134" s="408"/>
      <c r="K134" s="409" t="str" cm="1">
        <f t="array" ref="K134">IF(Tabela_SP3[[#This Row],[czy.ects]]="TAK",_xlfn.IFS(AND(Tabela_SP3[[#This Row],[sem1.godziny]]&gt;=$Q$191,Tabela_SP3[[#This Row],[sem1.forma]]="z"),8,AND(Tabela_SP3[[#This Row],[sem1.godziny]]&gt;=$I$191,Tabela_SP3[[#This Row],[sem1.forma]]="z"),4,AND(Tabela_SP3[[#This Row],[sem1.godziny]]&gt;=$H$191,Tabela_SP3[[#This Row],[sem1.forma]]="e"),2,AND(Tabela_SP3[[#This Row],[sem1.godziny]]&lt;$H$191,Tabela_SP3[[#This Row],[sem1.forma]]="e"),1,AND(Tabela_SP3[[#This Row],[sem1.godziny]]&gt;=$H$191,Tabela_SP3[[#This Row],[sem1.forma]]="z"),2,AND(Tabela_SP3[[#This Row],[sem1.godziny]]&lt;$H$191,Tabela_SP3[[#This Row],[sem1.forma]]="z"),1,TRUE,""),"")</f>
        <v/>
      </c>
      <c r="L134" s="408"/>
      <c r="M134" s="410"/>
      <c r="N134" s="411" t="str" cm="1">
        <f t="array" ref="N134">IF(Tabela_SP3[[#This Row],[czy.ects]]="TAK",_xlfn.IFS(AND(Tabela_SP3[[#This Row],[sem2.godziny]]&gt;=$Q$191,Tabela_SP3[[#This Row],[sem2.forma]]="z"),8,AND(Tabela_SP3[[#This Row],[sem2.godziny]]&gt;=$I$191,Tabela_SP3[[#This Row],[sem2.forma]]="z"),4,AND(Tabela_SP3[[#This Row],[sem2.godziny]]&gt;=$H$191,Tabela_SP3[[#This Row],[sem2.forma]]="e"),2,AND(Tabela_SP3[[#This Row],[sem2.godziny]]&lt;$H$191,Tabela_SP3[[#This Row],[sem2.forma]]="e"),1,AND(Tabela_SP3[[#This Row],[sem2.godziny]]&gt;=$H$191,Tabela_SP3[[#This Row],[sem2.forma]]="z"),2,AND(Tabela_SP3[[#This Row],[sem2.godziny]]&lt;$H$191,Tabela_SP3[[#This Row],[sem2.forma]]="z"),1,TRUE,""),"")</f>
        <v/>
      </c>
      <c r="O134" s="410"/>
      <c r="P134" s="412"/>
      <c r="Q134" s="413" t="str" cm="1">
        <f t="array" ref="Q134">IF(Tabela_SP3[[#This Row],[czy.ects]]="TAK",_xlfn.IFS(AND(Tabela_SP3[[#This Row],[sem3.godziny]]&gt;=$Q$191,Tabela_SP3[[#This Row],[sem3.forma]]="z"),8,AND(Tabela_SP3[[#This Row],[sem3.godziny]]&gt;=$I$191,Tabela_SP3[[#This Row],[sem3.forma]]="z"),4,AND(Tabela_SP3[[#This Row],[sem3.godziny]]&gt;=$H$191,Tabela_SP3[[#This Row],[sem3.forma]]="e"),2,AND(Tabela_SP3[[#This Row],[sem3.godziny]]&lt;$H$191,Tabela_SP3[[#This Row],[sem3.forma]]="e"),1,AND(Tabela_SP3[[#This Row],[sem3.godziny]]&gt;=$H$191,Tabela_SP3[[#This Row],[sem3.forma]]="z"),2,AND(Tabela_SP3[[#This Row],[sem3.godziny]]&lt;$H$191,Tabela_SP3[[#This Row],[sem3.forma]]="z"),1,TRUE,""),"")</f>
        <v/>
      </c>
      <c r="R134" s="412"/>
      <c r="S134" s="414">
        <v>200</v>
      </c>
      <c r="T134" s="415" cm="1">
        <f t="array" ref="T134">IF(Tabela_SP3[[#This Row],[czy.ects]]="TAK",_xlfn.IFS(AND(Tabela_SP3[[#This Row],[sem4.godziny]]&gt;=$Q$191,Tabela_SP3[[#This Row],[sem4.forma]]="z"),8,AND(Tabela_SP3[[#This Row],[sem4.godziny]]&gt;=$I$191,Tabela_SP3[[#This Row],[sem4.forma]]="z"),4,AND(Tabela_SP3[[#This Row],[sem4.godziny]]&gt;=$H$191,Tabela_SP3[[#This Row],[sem4.forma]]="e"),2,AND(Tabela_SP3[[#This Row],[sem4.godziny]]&lt;$H$191,Tabela_SP3[[#This Row],[sem4.forma]]="e"),1,AND(Tabela_SP3[[#This Row],[sem4.godziny]]&gt;=$H$191,Tabela_SP3[[#This Row],[sem4.forma]]="z"),2,AND(Tabela_SP3[[#This Row],[sem4.godziny]]&lt;$H$191,Tabela_SP3[[#This Row],[sem4.forma]]="z"),1,TRUE,""),"")</f>
        <v>8</v>
      </c>
      <c r="U134" s="414" t="s">
        <v>33</v>
      </c>
      <c r="V134" s="416">
        <v>200</v>
      </c>
      <c r="W134" s="417" cm="1">
        <f t="array" ref="W134">IF(Tabela_SP3[[#This Row],[czy.ects]]="TAK",_xlfn.IFS(AND(Tabela_SP3[[#This Row],[sem5.godziny]]&gt;=$Q$191,Tabela_SP3[[#This Row],[sem5.forma]]="z"),8,AND(Tabela_SP3[[#This Row],[sem5.godziny]]&gt;=$I$191,Tabela_SP3[[#This Row],[sem5.forma]]="z"),4,AND(Tabela_SP3[[#This Row],[sem5.godziny]]&gt;=$H$191,Tabela_SP3[[#This Row],[sem5.forma]]="e"),2,AND(Tabela_SP3[[#This Row],[sem5.godziny]]&lt;$H$191,Tabela_SP3[[#This Row],[sem5.forma]]="e"),1,AND(Tabela_SP3[[#This Row],[sem5.godziny]]&gt;=$H$191,Tabela_SP3[[#This Row],[sem5.forma]]="z"),2,AND(Tabela_SP3[[#This Row],[sem5.godziny]]&lt;$H$191,Tabela_SP3[[#This Row],[sem5.forma]]="z"),1,TRUE,""),"")</f>
        <v>8</v>
      </c>
      <c r="X134" s="416" t="s">
        <v>33</v>
      </c>
      <c r="Y134" s="418">
        <v>208</v>
      </c>
      <c r="Z134" s="419" cm="1">
        <f t="array" ref="Z134">IF(Tabela_SP3[[#This Row],[czy.ects]]="TAK",_xlfn.IFS(AND(Tabela_SP3[[#This Row],[sem6.godziny]]&gt;=$Q$191,Tabela_SP3[[#This Row],[sem6.forma]]="z"),8,AND(Tabela_SP3[[#This Row],[sem6.godziny]]&gt;=$I$191,Tabela_SP3[[#This Row],[sem6.forma]]="z"),4,AND(Tabela_SP3[[#This Row],[sem6.godziny]]&gt;=$H$191,Tabela_SP3[[#This Row],[sem6.forma]]="e"),2,AND(Tabela_SP3[[#This Row],[sem6.godziny]]&lt;$H$191,Tabela_SP3[[#This Row],[sem6.forma]]="e"),1,AND(Tabela_SP3[[#This Row],[sem6.godziny]]&gt;=$H$191,Tabela_SP3[[#This Row],[sem6.forma]]="z"),2,AND(Tabela_SP3[[#This Row],[sem6.godziny]]&lt;$H$191,Tabela_SP3[[#This Row],[sem6.forma]]="z"),1,TRUE,""),"")</f>
        <v>8</v>
      </c>
      <c r="AA134" s="418" t="s">
        <v>33</v>
      </c>
      <c r="AB134" s="420"/>
      <c r="AC134" s="421" t="str" cm="1">
        <f t="array" ref="AC134">IF(Tabela_SP3[[#This Row],[czy.ects]]="TAK",_xlfn.IFS(AND(Tabela_SP3[[#This Row],[sem7.godziny]]&gt;=$Q$191,Tabela_SP3[[#This Row],[sem7.forma]]="z"),8,AND(Tabela_SP3[[#This Row],[sem7.godziny]]&gt;=$I$191,Tabela_SP3[[#This Row],[sem7.forma]]="z"),4,AND(Tabela_SP3[[#This Row],[sem7.godziny]]&gt;=$H$191,Tabela_SP3[[#This Row],[sem7.forma]]="e"),2,AND(Tabela_SP3[[#This Row],[sem7.godziny]]&lt;$H$191,Tabela_SP3[[#This Row],[sem7.forma]]="e"),1,AND(Tabela_SP3[[#This Row],[sem7.godziny]]&gt;=$H$191,Tabela_SP3[[#This Row],[sem7.forma]]="z"),2,AND(Tabela_SP3[[#This Row],[sem7.godziny]]&lt;$H$191,Tabela_SP3[[#This Row],[sem7.forma]]="z"),1,TRUE,""),"")</f>
        <v/>
      </c>
      <c r="AD134" s="420"/>
      <c r="AE134" s="422"/>
      <c r="AF134" s="423" t="str" cm="1">
        <f t="array" ref="AF134">IF(Tabela_SP3[[#This Row],[czy.ects]]="TAK",_xlfn.IFS(AND(Tabela_SP3[[#This Row],[sem8.godziny]]&gt;=$Q$191,Tabela_SP3[[#This Row],[sem8.forma]]="z"),8,AND(Tabela_SP3[[#This Row],[sem8.godziny]]&gt;=$I$191,Tabela_SP3[[#This Row],[sem8.forma]]="z"),4,AND(Tabela_SP3[[#This Row],[sem8.godziny]]&gt;=$H$191,Tabela_SP3[[#This Row],[sem8.forma]]="e"),2,AND(Tabela_SP3[[#This Row],[sem8.godziny]]&lt;$H$191,Tabela_SP3[[#This Row],[sem8.forma]]="e"),1,AND(Tabela_SP3[[#This Row],[sem8.godziny]]&gt;=$H$191,Tabela_SP3[[#This Row],[sem8.forma]]="z"),2,AND(Tabela_SP3[[#This Row],[sem8.godziny]]&lt;$H$191,Tabela_SP3[[#This Row],[sem8.forma]]="z"),1,TRUE,""),"")</f>
        <v/>
      </c>
      <c r="AG134" s="422"/>
      <c r="AH134" s="424"/>
      <c r="AI134" s="425" t="str" cm="1">
        <f t="array" ref="AI134">IF(Tabela_SP3[[#This Row],[czy.ects]]="TAK",_xlfn.IFS(AND(Tabela_SP3[[#This Row],[sem9.godziny]]&gt;=$Q$191,Tabela_SP3[[#This Row],[sem9.forma]]="z"),8,AND(Tabela_SP3[[#This Row],[sem9.godziny]]&gt;=$I$191,Tabela_SP3[[#This Row],[sem9.forma]]="z"),4,AND(Tabela_SP3[[#This Row],[sem9.godziny]]&gt;=$H$191,Tabela_SP3[[#This Row],[sem9.forma]]="e"),2,AND(Tabela_SP3[[#This Row],[sem9.godziny]]&lt;$H$191,Tabela_SP3[[#This Row],[sem9.forma]]="e"),1,AND(Tabela_SP3[[#This Row],[sem9.godziny]]&gt;=$H$191,Tabela_SP3[[#This Row],[sem9.forma]]="z"),2,AND(Tabela_SP3[[#This Row],[sem9.godziny]]&lt;$H$191,Tabela_SP3[[#This Row],[sem9.forma]]="z"),1,TRUE,""),"")</f>
        <v/>
      </c>
      <c r="AJ134" s="424"/>
      <c r="AK134" s="426"/>
      <c r="AL134" s="427" t="str" cm="1">
        <f t="array" ref="AL134">IF(Tabela_SP3[[#This Row],[czy.ects]]="TAK",_xlfn.IFS(AND(Tabela_SP3[[#This Row],[sem10.godziny]]&gt;=$Q$191,Tabela_SP3[[#This Row],[sem10.forma]]="z"),8,AND(Tabela_SP3[[#This Row],[sem10.godziny]]&gt;=$I$191,Tabela_SP3[[#This Row],[sem10.forma]]="z"),4,AND(Tabela_SP3[[#This Row],[sem10.godziny]]&gt;=$H$191,Tabela_SP3[[#This Row],[sem10.forma]]="e"),2,AND(Tabela_SP3[[#This Row],[sem10.godziny]]&lt;$H$191,Tabela_SP3[[#This Row],[sem10.forma]]="e"),1,AND(Tabela_SP3[[#This Row],[sem10.godziny]]&gt;=$H$191,Tabela_SP3[[#This Row],[sem10.forma]]="z"),2,AND(Tabela_SP3[[#This Row],[sem10.godziny]]&lt;$H$191,Tabela_SP3[[#This Row],[sem10.forma]]="z"),1,TRUE,""),"")</f>
        <v/>
      </c>
      <c r="AM134" s="426"/>
      <c r="AN134" s="428">
        <f>SUM(Tabela_SP3[[#This Row],[sem1.ects]],Tabela_SP3[[#This Row],[sem2.ects]],Tabela_SP3[[#This Row],[sem3.ects]],Tabela_SP3[[#This Row],[sem4.ects]],Tabela_SP3[[#This Row],[sem5.ects]],Tabela_SP3[[#This Row],[sem6.ects]],Tabela_SP3[[#This Row],[sem7.ects]],Tabela_SP3[[#This Row],[sem8.ects]],Tabela_SP3[[#This Row],[sem9.ects]],Tabela_SP3[[#This Row],[sem10.ects]])</f>
        <v>24</v>
      </c>
      <c r="AO134" s="429">
        <f>IF(ISERR(SEARCH("UP",Tabela_SP3[[#This Row],[Umiej.prakt.]],1)),0,Tabela_SP3[[#This Row],[ects.razem]])</f>
        <v>24</v>
      </c>
      <c r="AP134" s="430">
        <f>IF(Tabela_SP3[[#This Row],[czy.ects]]="TAK",ROUND((SUM(Tabela_SP3[[#This Row],[godziny.konsultacja]],Tabela_SP3[[#This Row],[godziny.egzamin]],Tabela_SP3[[#This Row],[godziny.zajec.razem]])/25)/0.5,0)*0.5,0)</f>
        <v>27</v>
      </c>
      <c r="AQ134" s="431">
        <f>SUM(Tabela_SP3[[#This Row],[godziny.samoksztalcenie]],Tabela_SP3[[#This Row],[godziny.konsultacja]],Tabela_SP3[[#This Row],[godziny.egzamin]],Tabela_SP3[[#This Row],[godziny.zajec.razem]])</f>
        <v>1008</v>
      </c>
      <c r="AR134" s="432">
        <f>INT(SUM(Tabela_SP3[[#This Row],[godziny.konsultacja]],Tabela_SP3[[#This Row],[godziny.egzamin]],Tabela_SP3[[#This Row],[godziny.zajec.razem]])*0.5+Tabela_SP3[[#This Row],[godziny.zajec.razem]]*(15-$G$191)/9)</f>
        <v>336</v>
      </c>
      <c r="AS134" s="433">
        <f>INT(Tabela_SP3[[#This Row],[godziny.zajec.razem]]*0.1)</f>
        <v>60</v>
      </c>
      <c r="AT134" s="409">
        <f>IF(Tabela_SP3[[#This Row],[godziny.zajec.razem]]&gt;0,IF(Tabela_SP3[[#This Row],[godziny.zajec.razem]]&gt;=45,4,2),0)</f>
        <v>4</v>
      </c>
      <c r="AU134" s="434">
        <f>SUM(Tabela_SP3[[#This Row],[sem1.godziny]],Tabela_SP3[[#This Row],[sem2.godziny]],Tabela_SP3[[#This Row],[sem3.godziny]],Tabela_SP3[[#This Row],[sem4.godziny]],Tabela_SP3[[#This Row],[sem5.godziny]],Tabela_SP3[[#This Row],[sem6.godziny]],Tabela_SP3[[#This Row],[sem7.godziny]],Tabela_SP3[[#This Row],[sem8.godziny]],Tabela_SP3[[#This Row],[sem9.godziny]],Tabela_SP3[[#This Row],[sem10.godziny]])</f>
        <v>608</v>
      </c>
      <c r="AV134" s="435">
        <f>IF(Tabela_SP3[[#This Row],[ects.bezposr.nauczyciel]],Tabela_SP3[[#This Row],[ects.bezposr.nauczyciel]]/Tabela_SP3[[#This Row],[ects.razem]],0)</f>
        <v>1.125</v>
      </c>
      <c r="AW134" s="207"/>
    </row>
    <row r="135" spans="1:49" ht="8.25" customHeight="1" x14ac:dyDescent="0.3">
      <c r="A135" s="207"/>
      <c r="B135" s="77"/>
      <c r="C135" s="49"/>
      <c r="D135" s="49"/>
      <c r="E135" s="49"/>
      <c r="F135" s="7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78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207"/>
      <c r="AP135" s="207"/>
      <c r="AQ135" s="207"/>
      <c r="AR135" s="207"/>
      <c r="AS135" s="207"/>
      <c r="AT135" s="207"/>
      <c r="AU135" s="207"/>
      <c r="AV135" s="207"/>
      <c r="AW135" s="207"/>
    </row>
    <row r="136" spans="1:49" ht="25.5" hidden="1" customHeight="1" thickBot="1" x14ac:dyDescent="0.35">
      <c r="A136" s="207"/>
      <c r="B136" s="762" t="s">
        <v>435</v>
      </c>
      <c r="C136" s="763"/>
      <c r="D136" s="763"/>
      <c r="E136" s="763"/>
      <c r="F136" s="763"/>
      <c r="G136" s="763"/>
      <c r="H136" s="763"/>
      <c r="I136" s="763"/>
      <c r="J136" s="464">
        <f>SUM(Tabela_SP4[sem1.godziny])</f>
        <v>0</v>
      </c>
      <c r="K136" s="464">
        <f>SUM(Tabela_SP4[sem1.ects])</f>
        <v>0</v>
      </c>
      <c r="L136" s="464"/>
      <c r="M136" s="464">
        <f>SUM(Tabela_SP4[sem2.godziny])</f>
        <v>0</v>
      </c>
      <c r="N136" s="464">
        <f>SUM(Tabela_SP4[sem2.ects])</f>
        <v>0</v>
      </c>
      <c r="O136" s="464"/>
      <c r="P136" s="464">
        <f>SUM(Tabela_SP4[sem3.godziny])</f>
        <v>0</v>
      </c>
      <c r="Q136" s="464">
        <f>SUM(Tabela_SP4[sem3.ects])</f>
        <v>0</v>
      </c>
      <c r="R136" s="464"/>
      <c r="S136" s="464">
        <f>SUM(Tabela_SP4[sem4.godziny])</f>
        <v>0</v>
      </c>
      <c r="T136" s="464">
        <f>SUM(Tabela_SP4[sem4.ects])</f>
        <v>0</v>
      </c>
      <c r="U136" s="464"/>
      <c r="V136" s="464">
        <f>SUM(Tabela_SP4[sem5.godziny])</f>
        <v>0</v>
      </c>
      <c r="W136" s="464">
        <f>SUM(Tabela_SP4[sem5.ects])</f>
        <v>0</v>
      </c>
      <c r="X136" s="464"/>
      <c r="Y136" s="464">
        <f>SUM(Tabela_SP4[sem6.godziny])</f>
        <v>0</v>
      </c>
      <c r="Z136" s="464">
        <f>SUM(Tabela_SP4[sem6.ects])</f>
        <v>0</v>
      </c>
      <c r="AA136" s="464"/>
      <c r="AB136" s="464">
        <f>SUM(Tabela_SP4[sem7.godziny])</f>
        <v>0</v>
      </c>
      <c r="AC136" s="464">
        <f>SUM(Tabela_SP4[sem7.ects])</f>
        <v>0</v>
      </c>
      <c r="AD136" s="464"/>
      <c r="AE136" s="464">
        <f>SUM(Tabela_SP4[sem8.godziny])</f>
        <v>0</v>
      </c>
      <c r="AF136" s="464">
        <f>SUM(Tabela_SP4[sem8.ects])</f>
        <v>0</v>
      </c>
      <c r="AG136" s="464"/>
      <c r="AH136" s="464">
        <f>SUM(Tabela_SP4[sem9.godziny])</f>
        <v>0</v>
      </c>
      <c r="AI136" s="464">
        <f>SUM(Tabela_SP4[sem9.ects])</f>
        <v>0</v>
      </c>
      <c r="AJ136" s="464"/>
      <c r="AK136" s="464">
        <f>SUM(Tabela_SP4[sem10.godziny])</f>
        <v>0</v>
      </c>
      <c r="AL136" s="464">
        <f>SUM(Tabela_SP4[sem10.ects])</f>
        <v>0</v>
      </c>
      <c r="AM136" s="464"/>
      <c r="AN136" s="464">
        <f>SUM(Tabela_SP4[ects.razem])</f>
        <v>0</v>
      </c>
      <c r="AO136" s="464">
        <f>SUM(Tabela_SP4[ects.umiej.prakt.])</f>
        <v>0</v>
      </c>
      <c r="AP136" s="464">
        <f>SUM(Tabela_SP4[ects.bezposr.nauczyciel])</f>
        <v>0</v>
      </c>
      <c r="AQ136" s="464">
        <f>SUM(Tabela_SP4[godziny.razem.student])</f>
        <v>0</v>
      </c>
      <c r="AR136" s="464">
        <f>SUM(Tabela_SP4[godziny.samoksztalcenie])</f>
        <v>0</v>
      </c>
      <c r="AS136" s="464">
        <f>SUM(Tabela_SP4[godziny.konsultacja])</f>
        <v>0</v>
      </c>
      <c r="AT136" s="464">
        <f>SUM(Tabela_SP4[godziny.egzamin])</f>
        <v>0</v>
      </c>
      <c r="AU136" s="464">
        <f>SUM(Tabela_SP4[godziny.zajec.razem])</f>
        <v>0</v>
      </c>
      <c r="AV136" s="465"/>
      <c r="AW136" s="207"/>
    </row>
    <row r="137" spans="1:49" ht="25.5" hidden="1" customHeight="1" x14ac:dyDescent="0.3">
      <c r="A137" s="207"/>
      <c r="B137" s="466" t="s">
        <v>374</v>
      </c>
      <c r="C137" s="467" t="s">
        <v>373</v>
      </c>
      <c r="D137" s="467" t="s">
        <v>372</v>
      </c>
      <c r="E137" s="467" t="s">
        <v>371</v>
      </c>
      <c r="F137" s="468" t="s">
        <v>368</v>
      </c>
      <c r="G137" s="469" t="s">
        <v>369</v>
      </c>
      <c r="H137" s="470" t="s">
        <v>370</v>
      </c>
      <c r="I137" s="471" t="s">
        <v>375</v>
      </c>
      <c r="J137" s="472" t="s">
        <v>376</v>
      </c>
      <c r="K137" s="473" t="s">
        <v>377</v>
      </c>
      <c r="L137" s="472" t="s">
        <v>378</v>
      </c>
      <c r="M137" s="474" t="s">
        <v>379</v>
      </c>
      <c r="N137" s="475" t="s">
        <v>380</v>
      </c>
      <c r="O137" s="474" t="s">
        <v>381</v>
      </c>
      <c r="P137" s="476" t="s">
        <v>382</v>
      </c>
      <c r="Q137" s="477" t="s">
        <v>383</v>
      </c>
      <c r="R137" s="476" t="s">
        <v>384</v>
      </c>
      <c r="S137" s="478" t="s">
        <v>385</v>
      </c>
      <c r="T137" s="479" t="s">
        <v>386</v>
      </c>
      <c r="U137" s="478" t="s">
        <v>387</v>
      </c>
      <c r="V137" s="480" t="s">
        <v>388</v>
      </c>
      <c r="W137" s="481" t="s">
        <v>389</v>
      </c>
      <c r="X137" s="480" t="s">
        <v>390</v>
      </c>
      <c r="Y137" s="482" t="s">
        <v>391</v>
      </c>
      <c r="Z137" s="483" t="s">
        <v>392</v>
      </c>
      <c r="AA137" s="482" t="s">
        <v>393</v>
      </c>
      <c r="AB137" s="484" t="s">
        <v>394</v>
      </c>
      <c r="AC137" s="485" t="s">
        <v>395</v>
      </c>
      <c r="AD137" s="484" t="s">
        <v>396</v>
      </c>
      <c r="AE137" s="423" t="s">
        <v>409</v>
      </c>
      <c r="AF137" s="423" t="s">
        <v>410</v>
      </c>
      <c r="AG137" s="423" t="s">
        <v>411</v>
      </c>
      <c r="AH137" s="425" t="s">
        <v>412</v>
      </c>
      <c r="AI137" s="425" t="s">
        <v>413</v>
      </c>
      <c r="AJ137" s="425" t="s">
        <v>414</v>
      </c>
      <c r="AK137" s="427" t="s">
        <v>415</v>
      </c>
      <c r="AL137" s="427" t="s">
        <v>416</v>
      </c>
      <c r="AM137" s="427" t="s">
        <v>417</v>
      </c>
      <c r="AN137" s="486" t="s">
        <v>397</v>
      </c>
      <c r="AO137" s="487" t="s">
        <v>398</v>
      </c>
      <c r="AP137" s="488" t="s">
        <v>399</v>
      </c>
      <c r="AQ137" s="489" t="s">
        <v>400</v>
      </c>
      <c r="AR137" s="490" t="s">
        <v>401</v>
      </c>
      <c r="AS137" s="491" t="s">
        <v>402</v>
      </c>
      <c r="AT137" s="473" t="s">
        <v>403</v>
      </c>
      <c r="AU137" s="492" t="s">
        <v>404</v>
      </c>
      <c r="AV137" s="493" t="s">
        <v>405</v>
      </c>
      <c r="AW137" s="207"/>
    </row>
    <row r="138" spans="1:49" ht="25.5" hidden="1" customHeight="1" x14ac:dyDescent="0.3">
      <c r="A138" s="207"/>
      <c r="B138" s="402"/>
      <c r="C138" s="403"/>
      <c r="D138" s="403"/>
      <c r="E138" s="362"/>
      <c r="F138" s="404"/>
      <c r="G138" s="405"/>
      <c r="H138" s="406"/>
      <c r="I138" s="407"/>
      <c r="J138" s="408"/>
      <c r="K138" s="409" t="str" cm="1">
        <f t="array" ref="K138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38" s="408"/>
      <c r="M138" s="410"/>
      <c r="N138" s="411" t="str" cm="1">
        <f t="array" ref="N138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38" s="410"/>
      <c r="P138" s="412"/>
      <c r="Q138" s="413" t="str" cm="1">
        <f t="array" ref="Q138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38" s="412"/>
      <c r="S138" s="414"/>
      <c r="T138" s="415" t="str" cm="1">
        <f t="array" ref="T138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38" s="414"/>
      <c r="V138" s="416"/>
      <c r="W138" s="417" t="str" cm="1">
        <f t="array" ref="W138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38" s="416"/>
      <c r="Y138" s="418"/>
      <c r="Z138" s="419" t="str" cm="1">
        <f t="array" ref="Z138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38" s="418"/>
      <c r="AB138" s="420"/>
      <c r="AC138" s="421" t="str" cm="1">
        <f t="array" ref="AC138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38" s="420"/>
      <c r="AE138" s="422"/>
      <c r="AF138" s="423" t="str" cm="1">
        <f t="array" ref="AF138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38" s="422"/>
      <c r="AH138" s="424"/>
      <c r="AI138" s="425" t="str" cm="1">
        <f t="array" ref="AI138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38" s="424"/>
      <c r="AK138" s="426"/>
      <c r="AL138" s="427" t="str" cm="1">
        <f t="array" ref="AL138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38" s="426"/>
      <c r="AN138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38" s="429">
        <f>IF(ISERR(SEARCH("UP",Tabela_SP4[[#This Row],[Umiej.prakt.]],1)),0,Tabela_SP4[[#This Row],[ects.razem]])</f>
        <v>0</v>
      </c>
      <c r="AP138" s="430">
        <f>IF(Tabela_SP4[[#This Row],[czy.ects]]="TAK",ROUND((SUM(Tabela_SP4[[#This Row],[godziny.konsultacja]],Tabela_SP4[[#This Row],[godziny.egzamin]],Tabela_SP4[[#This Row],[godziny.zajec.razem]])/25)/0.5,0)*0.5,0)</f>
        <v>0</v>
      </c>
      <c r="AQ138" s="431">
        <f>SUM(Tabela_SP4[[#This Row],[godziny.samoksztalcenie]],Tabela_SP4[[#This Row],[godziny.konsultacja]],Tabela_SP4[[#This Row],[godziny.egzamin]],Tabela_SP4[[#This Row],[godziny.zajec.razem]])</f>
        <v>0</v>
      </c>
      <c r="AR138" s="432">
        <f>INT(SUM(Tabela_SP4[[#This Row],[godziny.konsultacja]],Tabela_SP4[[#This Row],[godziny.egzamin]],Tabela_SP4[[#This Row],[godziny.zajec.razem]])*0.5+Tabela_SP4[[#This Row],[godziny.zajec.razem]]*(15-$G$191)/9)</f>
        <v>0</v>
      </c>
      <c r="AS138" s="433">
        <f>INT(Tabela_SP4[[#This Row],[godziny.zajec.razem]]*0.1)</f>
        <v>0</v>
      </c>
      <c r="AT138" s="409">
        <f>IF(Tabela_SP4[[#This Row],[godziny.zajec.razem]]&gt;0,IF(Tabela_SP4[[#This Row],[godziny.zajec.razem]]&gt;=45,4,2),0)</f>
        <v>0</v>
      </c>
      <c r="AU138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38" s="435">
        <f>IF(Tabela_SP4[[#This Row],[ects.bezposr.nauczyciel]],Tabela_SP4[[#This Row],[ects.bezposr.nauczyciel]]/Tabela_SP4[[#This Row],[ects.razem]],0)</f>
        <v>0</v>
      </c>
      <c r="AW138" s="207"/>
    </row>
    <row r="139" spans="1:49" ht="25.5" hidden="1" customHeight="1" x14ac:dyDescent="0.3">
      <c r="A139" s="207"/>
      <c r="B139" s="402"/>
      <c r="C139" s="403"/>
      <c r="D139" s="403"/>
      <c r="E139" s="362"/>
      <c r="F139" s="404"/>
      <c r="G139" s="405"/>
      <c r="H139" s="406"/>
      <c r="I139" s="407"/>
      <c r="J139" s="408"/>
      <c r="K139" s="409" t="str" cm="1">
        <f t="array" ref="K139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39" s="408"/>
      <c r="M139" s="410"/>
      <c r="N139" s="411" t="str" cm="1">
        <f t="array" ref="N139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39" s="410"/>
      <c r="P139" s="412"/>
      <c r="Q139" s="413" t="str" cm="1">
        <f t="array" ref="Q139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39" s="412"/>
      <c r="S139" s="414"/>
      <c r="T139" s="415" t="str" cm="1">
        <f t="array" ref="T139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39" s="414"/>
      <c r="V139" s="416"/>
      <c r="W139" s="417" t="str" cm="1">
        <f t="array" ref="W139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39" s="416"/>
      <c r="Y139" s="418"/>
      <c r="Z139" s="419" t="str" cm="1">
        <f t="array" ref="Z139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39" s="418"/>
      <c r="AB139" s="420"/>
      <c r="AC139" s="421" t="str" cm="1">
        <f t="array" ref="AC139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39" s="420"/>
      <c r="AE139" s="422"/>
      <c r="AF139" s="423" t="str" cm="1">
        <f t="array" ref="AF139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39" s="422"/>
      <c r="AH139" s="424"/>
      <c r="AI139" s="425" t="str" cm="1">
        <f t="array" ref="AI139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39" s="424"/>
      <c r="AK139" s="426"/>
      <c r="AL139" s="427" t="str" cm="1">
        <f t="array" ref="AL139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39" s="426"/>
      <c r="AN139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39" s="429">
        <f>IF(ISERR(SEARCH("UP",Tabela_SP4[[#This Row],[Umiej.prakt.]],1)),0,Tabela_SP4[[#This Row],[ects.razem]])</f>
        <v>0</v>
      </c>
      <c r="AP139" s="430">
        <f>IF(Tabela_SP4[[#This Row],[czy.ects]]="TAK",ROUND((SUM(Tabela_SP4[[#This Row],[godziny.konsultacja]],Tabela_SP4[[#This Row],[godziny.egzamin]],Tabela_SP4[[#This Row],[godziny.zajec.razem]])/25)/0.5,0)*0.5,0)</f>
        <v>0</v>
      </c>
      <c r="AQ139" s="431">
        <f>SUM(Tabela_SP4[[#This Row],[godziny.samoksztalcenie]],Tabela_SP4[[#This Row],[godziny.konsultacja]],Tabela_SP4[[#This Row],[godziny.egzamin]],Tabela_SP4[[#This Row],[godziny.zajec.razem]])</f>
        <v>0</v>
      </c>
      <c r="AR139" s="432">
        <f>INT(SUM(Tabela_SP4[[#This Row],[godziny.konsultacja]],Tabela_SP4[[#This Row],[godziny.egzamin]],Tabela_SP4[[#This Row],[godziny.zajec.razem]])*0.5+Tabela_SP4[[#This Row],[godziny.zajec.razem]]*(15-$G$191)/9)</f>
        <v>0</v>
      </c>
      <c r="AS139" s="433">
        <f>INT(Tabela_SP4[[#This Row],[godziny.zajec.razem]]*0.1)</f>
        <v>0</v>
      </c>
      <c r="AT139" s="409">
        <f>IF(Tabela_SP4[[#This Row],[godziny.zajec.razem]]&gt;0,IF(Tabela_SP4[[#This Row],[godziny.zajec.razem]]&gt;=45,4,2),0)</f>
        <v>0</v>
      </c>
      <c r="AU139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39" s="435">
        <f>IF(Tabela_SP4[[#This Row],[ects.bezposr.nauczyciel]],Tabela_SP4[[#This Row],[ects.bezposr.nauczyciel]]/Tabela_SP4[[#This Row],[ects.razem]],0)</f>
        <v>0</v>
      </c>
      <c r="AW139" s="207"/>
    </row>
    <row r="140" spans="1:49" ht="25.5" hidden="1" customHeight="1" x14ac:dyDescent="0.3">
      <c r="A140" s="207"/>
      <c r="B140" s="402"/>
      <c r="C140" s="403"/>
      <c r="D140" s="403"/>
      <c r="E140" s="362"/>
      <c r="F140" s="404"/>
      <c r="G140" s="405"/>
      <c r="H140" s="406"/>
      <c r="I140" s="407"/>
      <c r="J140" s="408"/>
      <c r="K140" s="409" t="str" cm="1">
        <f t="array" ref="K140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0" s="408"/>
      <c r="M140" s="410"/>
      <c r="N140" s="411" t="str" cm="1">
        <f t="array" ref="N140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0" s="410"/>
      <c r="P140" s="412"/>
      <c r="Q140" s="413" t="str" cm="1">
        <f t="array" ref="Q140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0" s="412"/>
      <c r="S140" s="414"/>
      <c r="T140" s="415" t="str" cm="1">
        <f t="array" ref="T140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0" s="414"/>
      <c r="V140" s="416"/>
      <c r="W140" s="417" t="str" cm="1">
        <f t="array" ref="W140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0" s="416"/>
      <c r="Y140" s="418"/>
      <c r="Z140" s="419" t="str" cm="1">
        <f t="array" ref="Z140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0" s="418"/>
      <c r="AB140" s="420"/>
      <c r="AC140" s="421" t="str" cm="1">
        <f t="array" ref="AC140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0" s="420"/>
      <c r="AE140" s="422"/>
      <c r="AF140" s="423" t="str" cm="1">
        <f t="array" ref="AF140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0" s="422"/>
      <c r="AH140" s="424"/>
      <c r="AI140" s="425" t="str" cm="1">
        <f t="array" ref="AI140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0" s="424"/>
      <c r="AK140" s="426"/>
      <c r="AL140" s="427" t="str" cm="1">
        <f t="array" ref="AL140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0" s="426"/>
      <c r="AN140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0" s="429">
        <f>IF(ISERR(SEARCH("UP",Tabela_SP4[[#This Row],[Umiej.prakt.]],1)),0,Tabela_SP4[[#This Row],[ects.razem]])</f>
        <v>0</v>
      </c>
      <c r="AP140" s="430">
        <f>IF(Tabela_SP4[[#This Row],[czy.ects]]="TAK",ROUND((SUM(Tabela_SP4[[#This Row],[godziny.konsultacja]],Tabela_SP4[[#This Row],[godziny.egzamin]],Tabela_SP4[[#This Row],[godziny.zajec.razem]])/25)/0.5,0)*0.5,0)</f>
        <v>0</v>
      </c>
      <c r="AQ140" s="431">
        <f>SUM(Tabela_SP4[[#This Row],[godziny.samoksztalcenie]],Tabela_SP4[[#This Row],[godziny.konsultacja]],Tabela_SP4[[#This Row],[godziny.egzamin]],Tabela_SP4[[#This Row],[godziny.zajec.razem]])</f>
        <v>0</v>
      </c>
      <c r="AR140" s="432">
        <f>INT(SUM(Tabela_SP4[[#This Row],[godziny.konsultacja]],Tabela_SP4[[#This Row],[godziny.egzamin]],Tabela_SP4[[#This Row],[godziny.zajec.razem]])*0.5+Tabela_SP4[[#This Row],[godziny.zajec.razem]]*(15-$G$191)/9)</f>
        <v>0</v>
      </c>
      <c r="AS140" s="433">
        <f>INT(Tabela_SP4[[#This Row],[godziny.zajec.razem]]*0.1)</f>
        <v>0</v>
      </c>
      <c r="AT140" s="409">
        <f>IF(Tabela_SP4[[#This Row],[godziny.zajec.razem]]&gt;0,IF(Tabela_SP4[[#This Row],[godziny.zajec.razem]]&gt;=45,4,2),0)</f>
        <v>0</v>
      </c>
      <c r="AU140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0" s="435">
        <f>IF(Tabela_SP4[[#This Row],[ects.bezposr.nauczyciel]],Tabela_SP4[[#This Row],[ects.bezposr.nauczyciel]]/Tabela_SP4[[#This Row],[ects.razem]],0)</f>
        <v>0</v>
      </c>
      <c r="AW140" s="207"/>
    </row>
    <row r="141" spans="1:49" ht="25.5" hidden="1" customHeight="1" x14ac:dyDescent="0.3">
      <c r="A141" s="207"/>
      <c r="B141" s="402"/>
      <c r="C141" s="403"/>
      <c r="D141" s="403"/>
      <c r="E141" s="362"/>
      <c r="F141" s="404"/>
      <c r="G141" s="405"/>
      <c r="H141" s="406"/>
      <c r="I141" s="407"/>
      <c r="J141" s="408"/>
      <c r="K141" s="409" t="str" cm="1">
        <f t="array" ref="K141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1" s="408"/>
      <c r="M141" s="410"/>
      <c r="N141" s="411" t="str" cm="1">
        <f t="array" ref="N141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1" s="410"/>
      <c r="P141" s="412"/>
      <c r="Q141" s="413" t="str" cm="1">
        <f t="array" ref="Q141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1" s="412"/>
      <c r="S141" s="414"/>
      <c r="T141" s="415" t="str" cm="1">
        <f t="array" ref="T141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1" s="414"/>
      <c r="V141" s="416"/>
      <c r="W141" s="417" t="str" cm="1">
        <f t="array" ref="W141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1" s="416"/>
      <c r="Y141" s="418"/>
      <c r="Z141" s="419" t="str" cm="1">
        <f t="array" ref="Z141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1" s="418"/>
      <c r="AB141" s="420"/>
      <c r="AC141" s="421" t="str" cm="1">
        <f t="array" ref="AC141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1" s="420"/>
      <c r="AE141" s="422"/>
      <c r="AF141" s="423" t="str" cm="1">
        <f t="array" ref="AF141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1" s="422"/>
      <c r="AH141" s="424"/>
      <c r="AI141" s="425" t="str" cm="1">
        <f t="array" ref="AI141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1" s="424"/>
      <c r="AK141" s="426"/>
      <c r="AL141" s="427" t="str" cm="1">
        <f t="array" ref="AL141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1" s="426"/>
      <c r="AN141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1" s="429">
        <f>IF(ISERR(SEARCH("UP",Tabela_SP4[[#This Row],[Umiej.prakt.]],1)),0,Tabela_SP4[[#This Row],[ects.razem]])</f>
        <v>0</v>
      </c>
      <c r="AP141" s="430">
        <f>IF(Tabela_SP4[[#This Row],[czy.ects]]="TAK",ROUND((SUM(Tabela_SP4[[#This Row],[godziny.konsultacja]],Tabela_SP4[[#This Row],[godziny.egzamin]],Tabela_SP4[[#This Row],[godziny.zajec.razem]])/25)/0.5,0)*0.5,0)</f>
        <v>0</v>
      </c>
      <c r="AQ141" s="431">
        <f>SUM(Tabela_SP4[[#This Row],[godziny.samoksztalcenie]],Tabela_SP4[[#This Row],[godziny.konsultacja]],Tabela_SP4[[#This Row],[godziny.egzamin]],Tabela_SP4[[#This Row],[godziny.zajec.razem]])</f>
        <v>0</v>
      </c>
      <c r="AR141" s="432">
        <f>INT(SUM(Tabela_SP4[[#This Row],[godziny.konsultacja]],Tabela_SP4[[#This Row],[godziny.egzamin]],Tabela_SP4[[#This Row],[godziny.zajec.razem]])*0.5+Tabela_SP4[[#This Row],[godziny.zajec.razem]]*(15-$G$191)/9)</f>
        <v>0</v>
      </c>
      <c r="AS141" s="433">
        <f>INT(Tabela_SP4[[#This Row],[godziny.zajec.razem]]*0.1)</f>
        <v>0</v>
      </c>
      <c r="AT141" s="409">
        <f>IF(Tabela_SP4[[#This Row],[godziny.zajec.razem]]&gt;0,IF(Tabela_SP4[[#This Row],[godziny.zajec.razem]]&gt;=45,4,2),0)</f>
        <v>0</v>
      </c>
      <c r="AU141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1" s="435">
        <f>IF(Tabela_SP4[[#This Row],[ects.bezposr.nauczyciel]],Tabela_SP4[[#This Row],[ects.bezposr.nauczyciel]]/Tabela_SP4[[#This Row],[ects.razem]],0)</f>
        <v>0</v>
      </c>
      <c r="AW141" s="207"/>
    </row>
    <row r="142" spans="1:49" ht="25.5" hidden="1" customHeight="1" x14ac:dyDescent="0.3">
      <c r="A142" s="207"/>
      <c r="B142" s="402"/>
      <c r="C142" s="403"/>
      <c r="D142" s="403"/>
      <c r="E142" s="362"/>
      <c r="F142" s="404"/>
      <c r="G142" s="405"/>
      <c r="H142" s="406"/>
      <c r="I142" s="407"/>
      <c r="J142" s="408"/>
      <c r="K142" s="409" t="str" cm="1">
        <f t="array" ref="K142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2" s="408"/>
      <c r="M142" s="410"/>
      <c r="N142" s="411" t="str" cm="1">
        <f t="array" ref="N142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2" s="410"/>
      <c r="P142" s="412"/>
      <c r="Q142" s="413" t="str" cm="1">
        <f t="array" ref="Q142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2" s="412"/>
      <c r="S142" s="414"/>
      <c r="T142" s="415" t="str" cm="1">
        <f t="array" ref="T142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2" s="414"/>
      <c r="V142" s="416"/>
      <c r="W142" s="417" t="str" cm="1">
        <f t="array" ref="W142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2" s="416"/>
      <c r="Y142" s="418"/>
      <c r="Z142" s="419" t="str" cm="1">
        <f t="array" ref="Z142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2" s="418"/>
      <c r="AB142" s="420"/>
      <c r="AC142" s="421" t="str" cm="1">
        <f t="array" ref="AC142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2" s="420"/>
      <c r="AE142" s="422"/>
      <c r="AF142" s="423" t="str" cm="1">
        <f t="array" ref="AF142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2" s="422"/>
      <c r="AH142" s="424"/>
      <c r="AI142" s="425" t="str" cm="1">
        <f t="array" ref="AI142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2" s="424"/>
      <c r="AK142" s="426"/>
      <c r="AL142" s="427" t="str" cm="1">
        <f t="array" ref="AL142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2" s="426"/>
      <c r="AN142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2" s="429">
        <f>IF(ISERR(SEARCH("UP",Tabela_SP4[[#This Row],[Umiej.prakt.]],1)),0,Tabela_SP4[[#This Row],[ects.razem]])</f>
        <v>0</v>
      </c>
      <c r="AP142" s="430">
        <f>IF(Tabela_SP4[[#This Row],[czy.ects]]="TAK",ROUND((SUM(Tabela_SP4[[#This Row],[godziny.konsultacja]],Tabela_SP4[[#This Row],[godziny.egzamin]],Tabela_SP4[[#This Row],[godziny.zajec.razem]])/25)/0.5,0)*0.5,0)</f>
        <v>0</v>
      </c>
      <c r="AQ142" s="431">
        <f>SUM(Tabela_SP4[[#This Row],[godziny.samoksztalcenie]],Tabela_SP4[[#This Row],[godziny.konsultacja]],Tabela_SP4[[#This Row],[godziny.egzamin]],Tabela_SP4[[#This Row],[godziny.zajec.razem]])</f>
        <v>0</v>
      </c>
      <c r="AR142" s="432">
        <f>INT(SUM(Tabela_SP4[[#This Row],[godziny.konsultacja]],Tabela_SP4[[#This Row],[godziny.egzamin]],Tabela_SP4[[#This Row],[godziny.zajec.razem]])*0.5+Tabela_SP4[[#This Row],[godziny.zajec.razem]]*(15-$G$191)/9)</f>
        <v>0</v>
      </c>
      <c r="AS142" s="433">
        <f>INT(Tabela_SP4[[#This Row],[godziny.zajec.razem]]*0.1)</f>
        <v>0</v>
      </c>
      <c r="AT142" s="409">
        <f>IF(Tabela_SP4[[#This Row],[godziny.zajec.razem]]&gt;0,IF(Tabela_SP4[[#This Row],[godziny.zajec.razem]]&gt;=45,4,2),0)</f>
        <v>0</v>
      </c>
      <c r="AU142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2" s="435">
        <f>IF(Tabela_SP4[[#This Row],[ects.bezposr.nauczyciel]],Tabela_SP4[[#This Row],[ects.bezposr.nauczyciel]]/Tabela_SP4[[#This Row],[ects.razem]],0)</f>
        <v>0</v>
      </c>
      <c r="AW142" s="207"/>
    </row>
    <row r="143" spans="1:49" ht="25.5" hidden="1" customHeight="1" x14ac:dyDescent="0.3">
      <c r="A143" s="207"/>
      <c r="B143" s="402"/>
      <c r="C143" s="403"/>
      <c r="D143" s="403"/>
      <c r="E143" s="362"/>
      <c r="F143" s="404"/>
      <c r="G143" s="405"/>
      <c r="H143" s="406"/>
      <c r="I143" s="407"/>
      <c r="J143" s="408"/>
      <c r="K143" s="409" t="str" cm="1">
        <f t="array" ref="K143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3" s="408"/>
      <c r="M143" s="410"/>
      <c r="N143" s="411" t="str" cm="1">
        <f t="array" ref="N143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3" s="410"/>
      <c r="P143" s="412"/>
      <c r="Q143" s="413" t="str" cm="1">
        <f t="array" ref="Q143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3" s="412"/>
      <c r="S143" s="414"/>
      <c r="T143" s="415" t="str" cm="1">
        <f t="array" ref="T143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3" s="414"/>
      <c r="V143" s="416"/>
      <c r="W143" s="417" t="str" cm="1">
        <f t="array" ref="W143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3" s="416"/>
      <c r="Y143" s="418"/>
      <c r="Z143" s="419" t="str" cm="1">
        <f t="array" ref="Z143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3" s="418"/>
      <c r="AB143" s="420"/>
      <c r="AC143" s="421" t="str" cm="1">
        <f t="array" ref="AC143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3" s="420"/>
      <c r="AE143" s="422"/>
      <c r="AF143" s="423" t="str" cm="1">
        <f t="array" ref="AF143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3" s="422"/>
      <c r="AH143" s="424"/>
      <c r="AI143" s="425" t="str" cm="1">
        <f t="array" ref="AI143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3" s="424"/>
      <c r="AK143" s="426"/>
      <c r="AL143" s="427" t="str" cm="1">
        <f t="array" ref="AL143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3" s="426"/>
      <c r="AN143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3" s="429">
        <f>IF(ISERR(SEARCH("UP",Tabela_SP4[[#This Row],[Umiej.prakt.]],1)),0,Tabela_SP4[[#This Row],[ects.razem]])</f>
        <v>0</v>
      </c>
      <c r="AP143" s="430">
        <f>IF(Tabela_SP4[[#This Row],[czy.ects]]="TAK",ROUND((SUM(Tabela_SP4[[#This Row],[godziny.konsultacja]],Tabela_SP4[[#This Row],[godziny.egzamin]],Tabela_SP4[[#This Row],[godziny.zajec.razem]])/25)/0.5,0)*0.5,0)</f>
        <v>0</v>
      </c>
      <c r="AQ143" s="431">
        <f>SUM(Tabela_SP4[[#This Row],[godziny.samoksztalcenie]],Tabela_SP4[[#This Row],[godziny.konsultacja]],Tabela_SP4[[#This Row],[godziny.egzamin]],Tabela_SP4[[#This Row],[godziny.zajec.razem]])</f>
        <v>0</v>
      </c>
      <c r="AR143" s="432">
        <f>INT(SUM(Tabela_SP4[[#This Row],[godziny.konsultacja]],Tabela_SP4[[#This Row],[godziny.egzamin]],Tabela_SP4[[#This Row],[godziny.zajec.razem]])*0.5+Tabela_SP4[[#This Row],[godziny.zajec.razem]]*(15-$G$191)/9)</f>
        <v>0</v>
      </c>
      <c r="AS143" s="433">
        <f>INT(Tabela_SP4[[#This Row],[godziny.zajec.razem]]*0.1)</f>
        <v>0</v>
      </c>
      <c r="AT143" s="409">
        <f>IF(Tabela_SP4[[#This Row],[godziny.zajec.razem]]&gt;0,IF(Tabela_SP4[[#This Row],[godziny.zajec.razem]]&gt;=45,4,2),0)</f>
        <v>0</v>
      </c>
      <c r="AU143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3" s="435">
        <f>IF(Tabela_SP4[[#This Row],[ects.bezposr.nauczyciel]],Tabela_SP4[[#This Row],[ects.bezposr.nauczyciel]]/Tabela_SP4[[#This Row],[ects.razem]],0)</f>
        <v>0</v>
      </c>
      <c r="AW143" s="207"/>
    </row>
    <row r="144" spans="1:49" ht="25.5" hidden="1" customHeight="1" x14ac:dyDescent="0.3">
      <c r="A144" s="207"/>
      <c r="B144" s="402"/>
      <c r="C144" s="403"/>
      <c r="D144" s="403"/>
      <c r="E144" s="362"/>
      <c r="F144" s="404"/>
      <c r="G144" s="405"/>
      <c r="H144" s="406"/>
      <c r="I144" s="407"/>
      <c r="J144" s="408"/>
      <c r="K144" s="409" t="str" cm="1">
        <f t="array" ref="K144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4" s="408"/>
      <c r="M144" s="410"/>
      <c r="N144" s="411" t="str" cm="1">
        <f t="array" ref="N144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4" s="410"/>
      <c r="P144" s="412"/>
      <c r="Q144" s="413" t="str" cm="1">
        <f t="array" ref="Q144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4" s="412"/>
      <c r="S144" s="414"/>
      <c r="T144" s="415" t="str" cm="1">
        <f t="array" ref="T144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4" s="414"/>
      <c r="V144" s="416"/>
      <c r="W144" s="417" t="str" cm="1">
        <f t="array" ref="W144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4" s="416"/>
      <c r="Y144" s="418"/>
      <c r="Z144" s="419" t="str" cm="1">
        <f t="array" ref="Z144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4" s="418"/>
      <c r="AB144" s="420"/>
      <c r="AC144" s="421" t="str" cm="1">
        <f t="array" ref="AC144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4" s="420"/>
      <c r="AE144" s="422"/>
      <c r="AF144" s="423" t="str" cm="1">
        <f t="array" ref="AF144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4" s="422"/>
      <c r="AH144" s="424"/>
      <c r="AI144" s="425" t="str" cm="1">
        <f t="array" ref="AI144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4" s="424"/>
      <c r="AK144" s="426"/>
      <c r="AL144" s="427" t="str" cm="1">
        <f t="array" ref="AL144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4" s="426"/>
      <c r="AN144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4" s="429">
        <f>IF(ISERR(SEARCH("UP",Tabela_SP4[[#This Row],[Umiej.prakt.]],1)),0,Tabela_SP4[[#This Row],[ects.razem]])</f>
        <v>0</v>
      </c>
      <c r="AP144" s="430">
        <f>IF(Tabela_SP4[[#This Row],[czy.ects]]="TAK",ROUND((SUM(Tabela_SP4[[#This Row],[godziny.konsultacja]],Tabela_SP4[[#This Row],[godziny.egzamin]],Tabela_SP4[[#This Row],[godziny.zajec.razem]])/25)/0.5,0)*0.5,0)</f>
        <v>0</v>
      </c>
      <c r="AQ144" s="431">
        <f>SUM(Tabela_SP4[[#This Row],[godziny.samoksztalcenie]],Tabela_SP4[[#This Row],[godziny.konsultacja]],Tabela_SP4[[#This Row],[godziny.egzamin]],Tabela_SP4[[#This Row],[godziny.zajec.razem]])</f>
        <v>0</v>
      </c>
      <c r="AR144" s="432">
        <f>INT(SUM(Tabela_SP4[[#This Row],[godziny.konsultacja]],Tabela_SP4[[#This Row],[godziny.egzamin]],Tabela_SP4[[#This Row],[godziny.zajec.razem]])*0.5+Tabela_SP4[[#This Row],[godziny.zajec.razem]]*(15-$G$191)/9)</f>
        <v>0</v>
      </c>
      <c r="AS144" s="433">
        <f>INT(Tabela_SP4[[#This Row],[godziny.zajec.razem]]*0.1)</f>
        <v>0</v>
      </c>
      <c r="AT144" s="409">
        <f>IF(Tabela_SP4[[#This Row],[godziny.zajec.razem]]&gt;0,IF(Tabela_SP4[[#This Row],[godziny.zajec.razem]]&gt;=45,4,2),0)</f>
        <v>0</v>
      </c>
      <c r="AU144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4" s="435">
        <f>IF(Tabela_SP4[[#This Row],[ects.bezposr.nauczyciel]],Tabela_SP4[[#This Row],[ects.bezposr.nauczyciel]]/Tabela_SP4[[#This Row],[ects.razem]],0)</f>
        <v>0</v>
      </c>
      <c r="AW144" s="207"/>
    </row>
    <row r="145" spans="1:49" ht="25.5" hidden="1" customHeight="1" x14ac:dyDescent="0.3">
      <c r="A145" s="207"/>
      <c r="B145" s="402"/>
      <c r="C145" s="403"/>
      <c r="D145" s="403"/>
      <c r="E145" s="362"/>
      <c r="F145" s="404"/>
      <c r="G145" s="405"/>
      <c r="H145" s="406"/>
      <c r="I145" s="407"/>
      <c r="J145" s="408"/>
      <c r="K145" s="409" t="str" cm="1">
        <f t="array" ref="K145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5" s="408"/>
      <c r="M145" s="410"/>
      <c r="N145" s="411" t="str" cm="1">
        <f t="array" ref="N145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5" s="410"/>
      <c r="P145" s="412"/>
      <c r="Q145" s="413" t="str" cm="1">
        <f t="array" ref="Q145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5" s="412"/>
      <c r="S145" s="414"/>
      <c r="T145" s="415" t="str" cm="1">
        <f t="array" ref="T145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5" s="414"/>
      <c r="V145" s="416"/>
      <c r="W145" s="417" t="str" cm="1">
        <f t="array" ref="W145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5" s="416"/>
      <c r="Y145" s="418"/>
      <c r="Z145" s="419" t="str" cm="1">
        <f t="array" ref="Z145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5" s="418"/>
      <c r="AB145" s="420"/>
      <c r="AC145" s="421" t="str" cm="1">
        <f t="array" ref="AC145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5" s="420"/>
      <c r="AE145" s="422"/>
      <c r="AF145" s="423" t="str" cm="1">
        <f t="array" ref="AF145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5" s="422"/>
      <c r="AH145" s="424"/>
      <c r="AI145" s="425" t="str" cm="1">
        <f t="array" ref="AI145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5" s="424"/>
      <c r="AK145" s="426"/>
      <c r="AL145" s="427" t="str" cm="1">
        <f t="array" ref="AL145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5" s="426"/>
      <c r="AN145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5" s="429">
        <f>IF(ISERR(SEARCH("UP",Tabela_SP4[[#This Row],[Umiej.prakt.]],1)),0,Tabela_SP4[[#This Row],[ects.razem]])</f>
        <v>0</v>
      </c>
      <c r="AP145" s="430">
        <f>IF(Tabela_SP4[[#This Row],[czy.ects]]="TAK",ROUND((SUM(Tabela_SP4[[#This Row],[godziny.konsultacja]],Tabela_SP4[[#This Row],[godziny.egzamin]],Tabela_SP4[[#This Row],[godziny.zajec.razem]])/25)/0.5,0)*0.5,0)</f>
        <v>0</v>
      </c>
      <c r="AQ145" s="431">
        <f>SUM(Tabela_SP4[[#This Row],[godziny.samoksztalcenie]],Tabela_SP4[[#This Row],[godziny.konsultacja]],Tabela_SP4[[#This Row],[godziny.egzamin]],Tabela_SP4[[#This Row],[godziny.zajec.razem]])</f>
        <v>0</v>
      </c>
      <c r="AR145" s="432">
        <f>INT(SUM(Tabela_SP4[[#This Row],[godziny.konsultacja]],Tabela_SP4[[#This Row],[godziny.egzamin]],Tabela_SP4[[#This Row],[godziny.zajec.razem]])*0.5+Tabela_SP4[[#This Row],[godziny.zajec.razem]]*(15-$G$191)/9)</f>
        <v>0</v>
      </c>
      <c r="AS145" s="433">
        <f>INT(Tabela_SP4[[#This Row],[godziny.zajec.razem]]*0.1)</f>
        <v>0</v>
      </c>
      <c r="AT145" s="409">
        <f>IF(Tabela_SP4[[#This Row],[godziny.zajec.razem]]&gt;0,IF(Tabela_SP4[[#This Row],[godziny.zajec.razem]]&gt;=45,4,2),0)</f>
        <v>0</v>
      </c>
      <c r="AU145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5" s="435">
        <f>IF(Tabela_SP4[[#This Row],[ects.bezposr.nauczyciel]],Tabela_SP4[[#This Row],[ects.bezposr.nauczyciel]]/Tabela_SP4[[#This Row],[ects.razem]],0)</f>
        <v>0</v>
      </c>
      <c r="AW145" s="207"/>
    </row>
    <row r="146" spans="1:49" ht="25.5" hidden="1" customHeight="1" x14ac:dyDescent="0.3">
      <c r="A146" s="207"/>
      <c r="B146" s="402"/>
      <c r="C146" s="403"/>
      <c r="D146" s="403"/>
      <c r="E146" s="362"/>
      <c r="F146" s="404"/>
      <c r="G146" s="405"/>
      <c r="H146" s="406"/>
      <c r="I146" s="407"/>
      <c r="J146" s="408"/>
      <c r="K146" s="409" t="str" cm="1">
        <f t="array" ref="K146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6" s="408"/>
      <c r="M146" s="410"/>
      <c r="N146" s="411" t="str" cm="1">
        <f t="array" ref="N146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6" s="410"/>
      <c r="P146" s="412"/>
      <c r="Q146" s="413" t="str" cm="1">
        <f t="array" ref="Q146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6" s="412"/>
      <c r="S146" s="414"/>
      <c r="T146" s="415" t="str" cm="1">
        <f t="array" ref="T146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6" s="414"/>
      <c r="V146" s="416"/>
      <c r="W146" s="417" t="str" cm="1">
        <f t="array" ref="W146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6" s="416"/>
      <c r="Y146" s="418"/>
      <c r="Z146" s="419" t="str" cm="1">
        <f t="array" ref="Z146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6" s="418"/>
      <c r="AB146" s="420"/>
      <c r="AC146" s="421" t="str" cm="1">
        <f t="array" ref="AC146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6" s="420"/>
      <c r="AE146" s="422"/>
      <c r="AF146" s="423" t="str" cm="1">
        <f t="array" ref="AF146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6" s="422"/>
      <c r="AH146" s="424"/>
      <c r="AI146" s="425" t="str" cm="1">
        <f t="array" ref="AI146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6" s="424"/>
      <c r="AK146" s="426"/>
      <c r="AL146" s="427" t="str" cm="1">
        <f t="array" ref="AL146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6" s="426"/>
      <c r="AN146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6" s="429">
        <f>IF(ISERR(SEARCH("UP",Tabela_SP4[[#This Row],[Umiej.prakt.]],1)),0,Tabela_SP4[[#This Row],[ects.razem]])</f>
        <v>0</v>
      </c>
      <c r="AP146" s="430">
        <f>IF(Tabela_SP4[[#This Row],[czy.ects]]="TAK",ROUND((SUM(Tabela_SP4[[#This Row],[godziny.konsultacja]],Tabela_SP4[[#This Row],[godziny.egzamin]],Tabela_SP4[[#This Row],[godziny.zajec.razem]])/25)/0.5,0)*0.5,0)</f>
        <v>0</v>
      </c>
      <c r="AQ146" s="431">
        <f>SUM(Tabela_SP4[[#This Row],[godziny.samoksztalcenie]],Tabela_SP4[[#This Row],[godziny.konsultacja]],Tabela_SP4[[#This Row],[godziny.egzamin]],Tabela_SP4[[#This Row],[godziny.zajec.razem]])</f>
        <v>0</v>
      </c>
      <c r="AR146" s="432">
        <f>INT(SUM(Tabela_SP4[[#This Row],[godziny.konsultacja]],Tabela_SP4[[#This Row],[godziny.egzamin]],Tabela_SP4[[#This Row],[godziny.zajec.razem]])*0.5+Tabela_SP4[[#This Row],[godziny.zajec.razem]]*(15-$G$191)/9)</f>
        <v>0</v>
      </c>
      <c r="AS146" s="433">
        <f>INT(Tabela_SP4[[#This Row],[godziny.zajec.razem]]*0.1)</f>
        <v>0</v>
      </c>
      <c r="AT146" s="409">
        <f>IF(Tabela_SP4[[#This Row],[godziny.zajec.razem]]&gt;0,IF(Tabela_SP4[[#This Row],[godziny.zajec.razem]]&gt;=45,4,2),0)</f>
        <v>0</v>
      </c>
      <c r="AU146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6" s="435">
        <f>IF(Tabela_SP4[[#This Row],[ects.bezposr.nauczyciel]],Tabela_SP4[[#This Row],[ects.bezposr.nauczyciel]]/Tabela_SP4[[#This Row],[ects.razem]],0)</f>
        <v>0</v>
      </c>
      <c r="AW146" s="207"/>
    </row>
    <row r="147" spans="1:49" ht="25.5" hidden="1" customHeight="1" x14ac:dyDescent="0.3">
      <c r="A147" s="207"/>
      <c r="B147" s="402"/>
      <c r="C147" s="403"/>
      <c r="D147" s="403"/>
      <c r="E147" s="362"/>
      <c r="F147" s="404"/>
      <c r="G147" s="405"/>
      <c r="H147" s="406"/>
      <c r="I147" s="407"/>
      <c r="J147" s="408"/>
      <c r="K147" s="409" t="str" cm="1">
        <f t="array" ref="K147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7" s="408"/>
      <c r="M147" s="410"/>
      <c r="N147" s="411" t="str" cm="1">
        <f t="array" ref="N147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7" s="410"/>
      <c r="P147" s="412"/>
      <c r="Q147" s="413" t="str" cm="1">
        <f t="array" ref="Q147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7" s="412"/>
      <c r="S147" s="414"/>
      <c r="T147" s="415" t="str" cm="1">
        <f t="array" ref="T147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7" s="414"/>
      <c r="V147" s="416"/>
      <c r="W147" s="417" t="str" cm="1">
        <f t="array" ref="W147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7" s="416"/>
      <c r="Y147" s="418"/>
      <c r="Z147" s="419" t="str" cm="1">
        <f t="array" ref="Z147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7" s="418"/>
      <c r="AB147" s="420"/>
      <c r="AC147" s="421" t="str" cm="1">
        <f t="array" ref="AC147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7" s="420"/>
      <c r="AE147" s="422"/>
      <c r="AF147" s="423" t="str" cm="1">
        <f t="array" ref="AF147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7" s="422"/>
      <c r="AH147" s="424"/>
      <c r="AI147" s="425" t="str" cm="1">
        <f t="array" ref="AI147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7" s="424"/>
      <c r="AK147" s="426"/>
      <c r="AL147" s="427" t="str" cm="1">
        <f t="array" ref="AL147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7" s="426"/>
      <c r="AN147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7" s="429">
        <f>IF(ISERR(SEARCH("UP",Tabela_SP4[[#This Row],[Umiej.prakt.]],1)),0,Tabela_SP4[[#This Row],[ects.razem]])</f>
        <v>0</v>
      </c>
      <c r="AP147" s="430">
        <f>IF(Tabela_SP4[[#This Row],[czy.ects]]="TAK",ROUND((SUM(Tabela_SP4[[#This Row],[godziny.konsultacja]],Tabela_SP4[[#This Row],[godziny.egzamin]],Tabela_SP4[[#This Row],[godziny.zajec.razem]])/25)/0.5,0)*0.5,0)</f>
        <v>0</v>
      </c>
      <c r="AQ147" s="431">
        <f>SUM(Tabela_SP4[[#This Row],[godziny.samoksztalcenie]],Tabela_SP4[[#This Row],[godziny.konsultacja]],Tabela_SP4[[#This Row],[godziny.egzamin]],Tabela_SP4[[#This Row],[godziny.zajec.razem]])</f>
        <v>0</v>
      </c>
      <c r="AR147" s="432">
        <f>INT(SUM(Tabela_SP4[[#This Row],[godziny.konsultacja]],Tabela_SP4[[#This Row],[godziny.egzamin]],Tabela_SP4[[#This Row],[godziny.zajec.razem]])*0.5+Tabela_SP4[[#This Row],[godziny.zajec.razem]]*(15-$G$191)/9)</f>
        <v>0</v>
      </c>
      <c r="AS147" s="433">
        <f>INT(Tabela_SP4[[#This Row],[godziny.zajec.razem]]*0.1)</f>
        <v>0</v>
      </c>
      <c r="AT147" s="409">
        <f>IF(Tabela_SP4[[#This Row],[godziny.zajec.razem]]&gt;0,IF(Tabela_SP4[[#This Row],[godziny.zajec.razem]]&gt;=45,4,2),0)</f>
        <v>0</v>
      </c>
      <c r="AU147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7" s="435">
        <f>IF(Tabela_SP4[[#This Row],[ects.bezposr.nauczyciel]],Tabela_SP4[[#This Row],[ects.bezposr.nauczyciel]]/Tabela_SP4[[#This Row],[ects.razem]],0)</f>
        <v>0</v>
      </c>
      <c r="AW147" s="207"/>
    </row>
    <row r="148" spans="1:49" ht="25.5" hidden="1" customHeight="1" x14ac:dyDescent="0.3">
      <c r="A148" s="207"/>
      <c r="B148" s="402"/>
      <c r="C148" s="403"/>
      <c r="D148" s="403"/>
      <c r="E148" s="362"/>
      <c r="F148" s="404"/>
      <c r="G148" s="405"/>
      <c r="H148" s="406"/>
      <c r="I148" s="407"/>
      <c r="J148" s="408"/>
      <c r="K148" s="409" t="str" cm="1">
        <f t="array" ref="K148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8" s="408"/>
      <c r="M148" s="410"/>
      <c r="N148" s="411" t="str" cm="1">
        <f t="array" ref="N148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8" s="410"/>
      <c r="P148" s="412"/>
      <c r="Q148" s="413" t="str" cm="1">
        <f t="array" ref="Q148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8" s="412"/>
      <c r="S148" s="414"/>
      <c r="T148" s="415" t="str" cm="1">
        <f t="array" ref="T148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8" s="414"/>
      <c r="V148" s="416"/>
      <c r="W148" s="417" t="str" cm="1">
        <f t="array" ref="W148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8" s="416"/>
      <c r="Y148" s="418"/>
      <c r="Z148" s="419" t="str" cm="1">
        <f t="array" ref="Z148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8" s="418"/>
      <c r="AB148" s="420"/>
      <c r="AC148" s="421" t="str" cm="1">
        <f t="array" ref="AC148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8" s="420"/>
      <c r="AE148" s="422"/>
      <c r="AF148" s="423" t="str" cm="1">
        <f t="array" ref="AF148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8" s="422"/>
      <c r="AH148" s="424"/>
      <c r="AI148" s="425" t="str" cm="1">
        <f t="array" ref="AI148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8" s="424"/>
      <c r="AK148" s="426"/>
      <c r="AL148" s="427" t="str" cm="1">
        <f t="array" ref="AL148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8" s="426"/>
      <c r="AN148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8" s="429">
        <f>IF(ISERR(SEARCH("UP",Tabela_SP4[[#This Row],[Umiej.prakt.]],1)),0,Tabela_SP4[[#This Row],[ects.razem]])</f>
        <v>0</v>
      </c>
      <c r="AP148" s="430">
        <f>IF(Tabela_SP4[[#This Row],[czy.ects]]="TAK",ROUND((SUM(Tabela_SP4[[#This Row],[godziny.konsultacja]],Tabela_SP4[[#This Row],[godziny.egzamin]],Tabela_SP4[[#This Row],[godziny.zajec.razem]])/25)/0.5,0)*0.5,0)</f>
        <v>0</v>
      </c>
      <c r="AQ148" s="431">
        <f>SUM(Tabela_SP4[[#This Row],[godziny.samoksztalcenie]],Tabela_SP4[[#This Row],[godziny.konsultacja]],Tabela_SP4[[#This Row],[godziny.egzamin]],Tabela_SP4[[#This Row],[godziny.zajec.razem]])</f>
        <v>0</v>
      </c>
      <c r="AR148" s="432">
        <f>INT(SUM(Tabela_SP4[[#This Row],[godziny.konsultacja]],Tabela_SP4[[#This Row],[godziny.egzamin]],Tabela_SP4[[#This Row],[godziny.zajec.razem]])*0.5+Tabela_SP4[[#This Row],[godziny.zajec.razem]]*(15-$G$191)/9)</f>
        <v>0</v>
      </c>
      <c r="AS148" s="433">
        <f>INT(Tabela_SP4[[#This Row],[godziny.zajec.razem]]*0.1)</f>
        <v>0</v>
      </c>
      <c r="AT148" s="409">
        <f>IF(Tabela_SP4[[#This Row],[godziny.zajec.razem]]&gt;0,IF(Tabela_SP4[[#This Row],[godziny.zajec.razem]]&gt;=45,4,2),0)</f>
        <v>0</v>
      </c>
      <c r="AU148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8" s="435">
        <f>IF(Tabela_SP4[[#This Row],[ects.bezposr.nauczyciel]],Tabela_SP4[[#This Row],[ects.bezposr.nauczyciel]]/Tabela_SP4[[#This Row],[ects.razem]],0)</f>
        <v>0</v>
      </c>
      <c r="AW148" s="207"/>
    </row>
    <row r="149" spans="1:49" ht="25.5" hidden="1" customHeight="1" x14ac:dyDescent="0.3">
      <c r="A149" s="207"/>
      <c r="B149" s="402"/>
      <c r="C149" s="403"/>
      <c r="D149" s="403"/>
      <c r="E149" s="362"/>
      <c r="F149" s="404"/>
      <c r="G149" s="405"/>
      <c r="H149" s="406"/>
      <c r="I149" s="407"/>
      <c r="J149" s="408"/>
      <c r="K149" s="409" t="str" cm="1">
        <f t="array" ref="K149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49" s="408"/>
      <c r="M149" s="410"/>
      <c r="N149" s="411" t="str" cm="1">
        <f t="array" ref="N149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49" s="410"/>
      <c r="P149" s="412"/>
      <c r="Q149" s="413" t="str" cm="1">
        <f t="array" ref="Q149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49" s="412"/>
      <c r="S149" s="414"/>
      <c r="T149" s="415" t="str" cm="1">
        <f t="array" ref="T149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49" s="414"/>
      <c r="V149" s="416"/>
      <c r="W149" s="417" t="str" cm="1">
        <f t="array" ref="W149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49" s="416"/>
      <c r="Y149" s="418"/>
      <c r="Z149" s="419" t="str" cm="1">
        <f t="array" ref="Z149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49" s="418"/>
      <c r="AB149" s="420"/>
      <c r="AC149" s="421" t="str" cm="1">
        <f t="array" ref="AC149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49" s="420"/>
      <c r="AE149" s="422"/>
      <c r="AF149" s="423" t="str" cm="1">
        <f t="array" ref="AF149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49" s="422"/>
      <c r="AH149" s="424"/>
      <c r="AI149" s="425" t="str" cm="1">
        <f t="array" ref="AI149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49" s="424"/>
      <c r="AK149" s="426"/>
      <c r="AL149" s="427" t="str" cm="1">
        <f t="array" ref="AL149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49" s="426"/>
      <c r="AN149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49" s="429">
        <f>IF(ISERR(SEARCH("UP",Tabela_SP4[[#This Row],[Umiej.prakt.]],1)),0,Tabela_SP4[[#This Row],[ects.razem]])</f>
        <v>0</v>
      </c>
      <c r="AP149" s="430">
        <f>IF(Tabela_SP4[[#This Row],[czy.ects]]="TAK",ROUND((SUM(Tabela_SP4[[#This Row],[godziny.konsultacja]],Tabela_SP4[[#This Row],[godziny.egzamin]],Tabela_SP4[[#This Row],[godziny.zajec.razem]])/25)/0.5,0)*0.5,0)</f>
        <v>0</v>
      </c>
      <c r="AQ149" s="431">
        <f>SUM(Tabela_SP4[[#This Row],[godziny.samoksztalcenie]],Tabela_SP4[[#This Row],[godziny.konsultacja]],Tabela_SP4[[#This Row],[godziny.egzamin]],Tabela_SP4[[#This Row],[godziny.zajec.razem]])</f>
        <v>0</v>
      </c>
      <c r="AR149" s="432">
        <f>INT(SUM(Tabela_SP4[[#This Row],[godziny.konsultacja]],Tabela_SP4[[#This Row],[godziny.egzamin]],Tabela_SP4[[#This Row],[godziny.zajec.razem]])*0.5+Tabela_SP4[[#This Row],[godziny.zajec.razem]]*(15-$G$191)/9)</f>
        <v>0</v>
      </c>
      <c r="AS149" s="433">
        <f>INT(Tabela_SP4[[#This Row],[godziny.zajec.razem]]*0.1)</f>
        <v>0</v>
      </c>
      <c r="AT149" s="409">
        <f>IF(Tabela_SP4[[#This Row],[godziny.zajec.razem]]&gt;0,IF(Tabela_SP4[[#This Row],[godziny.zajec.razem]]&gt;=45,4,2),0)</f>
        <v>0</v>
      </c>
      <c r="AU149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49" s="435">
        <f>IF(Tabela_SP4[[#This Row],[ects.bezposr.nauczyciel]],Tabela_SP4[[#This Row],[ects.bezposr.nauczyciel]]/Tabela_SP4[[#This Row],[ects.razem]],0)</f>
        <v>0</v>
      </c>
      <c r="AW149" s="207"/>
    </row>
    <row r="150" spans="1:49" ht="25.5" hidden="1" customHeight="1" x14ac:dyDescent="0.3">
      <c r="A150" s="207"/>
      <c r="B150" s="402"/>
      <c r="C150" s="403"/>
      <c r="D150" s="403"/>
      <c r="E150" s="362"/>
      <c r="F150" s="404"/>
      <c r="G150" s="405"/>
      <c r="H150" s="406"/>
      <c r="I150" s="407"/>
      <c r="J150" s="408"/>
      <c r="K150" s="409" t="str" cm="1">
        <f t="array" ref="K150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50" s="408"/>
      <c r="M150" s="410"/>
      <c r="N150" s="411" t="str" cm="1">
        <f t="array" ref="N150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50" s="410"/>
      <c r="P150" s="412"/>
      <c r="Q150" s="413" t="str" cm="1">
        <f t="array" ref="Q150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50" s="412"/>
      <c r="S150" s="414"/>
      <c r="T150" s="415" t="str" cm="1">
        <f t="array" ref="T150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50" s="414"/>
      <c r="V150" s="416"/>
      <c r="W150" s="417" t="str" cm="1">
        <f t="array" ref="W150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50" s="416"/>
      <c r="Y150" s="418"/>
      <c r="Z150" s="419" t="str" cm="1">
        <f t="array" ref="Z150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50" s="418"/>
      <c r="AB150" s="420"/>
      <c r="AC150" s="421" t="str" cm="1">
        <f t="array" ref="AC150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50" s="420"/>
      <c r="AE150" s="422"/>
      <c r="AF150" s="423" t="str" cm="1">
        <f t="array" ref="AF150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50" s="422"/>
      <c r="AH150" s="424"/>
      <c r="AI150" s="425" t="str" cm="1">
        <f t="array" ref="AI150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50" s="424"/>
      <c r="AK150" s="426"/>
      <c r="AL150" s="427" t="str" cm="1">
        <f t="array" ref="AL150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50" s="426"/>
      <c r="AN150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50" s="429">
        <f>IF(ISERR(SEARCH("UP",Tabela_SP4[[#This Row],[Umiej.prakt.]],1)),0,Tabela_SP4[[#This Row],[ects.razem]])</f>
        <v>0</v>
      </c>
      <c r="AP150" s="430">
        <f>IF(Tabela_SP4[[#This Row],[czy.ects]]="TAK",ROUND((SUM(Tabela_SP4[[#This Row],[godziny.konsultacja]],Tabela_SP4[[#This Row],[godziny.egzamin]],Tabela_SP4[[#This Row],[godziny.zajec.razem]])/25)/0.5,0)*0.5,0)</f>
        <v>0</v>
      </c>
      <c r="AQ150" s="431">
        <f>SUM(Tabela_SP4[[#This Row],[godziny.samoksztalcenie]],Tabela_SP4[[#This Row],[godziny.konsultacja]],Tabela_SP4[[#This Row],[godziny.egzamin]],Tabela_SP4[[#This Row],[godziny.zajec.razem]])</f>
        <v>0</v>
      </c>
      <c r="AR150" s="432">
        <f>INT(SUM(Tabela_SP4[[#This Row],[godziny.konsultacja]],Tabela_SP4[[#This Row],[godziny.egzamin]],Tabela_SP4[[#This Row],[godziny.zajec.razem]])*0.5+Tabela_SP4[[#This Row],[godziny.zajec.razem]]*(15-$G$191)/9)</f>
        <v>0</v>
      </c>
      <c r="AS150" s="433">
        <f>INT(Tabela_SP4[[#This Row],[godziny.zajec.razem]]*0.1)</f>
        <v>0</v>
      </c>
      <c r="AT150" s="409">
        <f>IF(Tabela_SP4[[#This Row],[godziny.zajec.razem]]&gt;0,IF(Tabela_SP4[[#This Row],[godziny.zajec.razem]]&gt;=45,4,2),0)</f>
        <v>0</v>
      </c>
      <c r="AU150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50" s="435">
        <f>IF(Tabela_SP4[[#This Row],[ects.bezposr.nauczyciel]],Tabela_SP4[[#This Row],[ects.bezposr.nauczyciel]]/Tabela_SP4[[#This Row],[ects.razem]],0)</f>
        <v>0</v>
      </c>
      <c r="AW150" s="207"/>
    </row>
    <row r="151" spans="1:49" ht="25.5" hidden="1" customHeight="1" x14ac:dyDescent="0.3">
      <c r="A151" s="207"/>
      <c r="B151" s="402"/>
      <c r="C151" s="403"/>
      <c r="D151" s="403"/>
      <c r="E151" s="362"/>
      <c r="F151" s="404"/>
      <c r="G151" s="405"/>
      <c r="H151" s="406"/>
      <c r="I151" s="407"/>
      <c r="J151" s="408"/>
      <c r="K151" s="409" t="str" cm="1">
        <f t="array" ref="K151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51" s="408"/>
      <c r="M151" s="410"/>
      <c r="N151" s="411" t="str" cm="1">
        <f t="array" ref="N151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51" s="410"/>
      <c r="P151" s="412"/>
      <c r="Q151" s="413" t="str" cm="1">
        <f t="array" ref="Q151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51" s="412"/>
      <c r="S151" s="414"/>
      <c r="T151" s="415" t="str" cm="1">
        <f t="array" ref="T151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51" s="414"/>
      <c r="V151" s="416"/>
      <c r="W151" s="417" t="str" cm="1">
        <f t="array" ref="W151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51" s="416"/>
      <c r="Y151" s="418"/>
      <c r="Z151" s="419" t="str" cm="1">
        <f t="array" ref="Z151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51" s="418"/>
      <c r="AB151" s="420"/>
      <c r="AC151" s="421" t="str" cm="1">
        <f t="array" ref="AC151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51" s="420"/>
      <c r="AE151" s="422"/>
      <c r="AF151" s="423" t="str" cm="1">
        <f t="array" ref="AF151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51" s="422"/>
      <c r="AH151" s="424"/>
      <c r="AI151" s="425" t="str" cm="1">
        <f t="array" ref="AI151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51" s="424"/>
      <c r="AK151" s="426"/>
      <c r="AL151" s="427" t="str" cm="1">
        <f t="array" ref="AL151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51" s="426"/>
      <c r="AN151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51" s="429">
        <f>IF(ISERR(SEARCH("UP",Tabela_SP4[[#This Row],[Umiej.prakt.]],1)),0,Tabela_SP4[[#This Row],[ects.razem]])</f>
        <v>0</v>
      </c>
      <c r="AP151" s="430">
        <f>IF(Tabela_SP4[[#This Row],[czy.ects]]="TAK",ROUND((SUM(Tabela_SP4[[#This Row],[godziny.konsultacja]],Tabela_SP4[[#This Row],[godziny.egzamin]],Tabela_SP4[[#This Row],[godziny.zajec.razem]])/25)/0.5,0)*0.5,0)</f>
        <v>0</v>
      </c>
      <c r="AQ151" s="431">
        <f>SUM(Tabela_SP4[[#This Row],[godziny.samoksztalcenie]],Tabela_SP4[[#This Row],[godziny.konsultacja]],Tabela_SP4[[#This Row],[godziny.egzamin]],Tabela_SP4[[#This Row],[godziny.zajec.razem]])</f>
        <v>0</v>
      </c>
      <c r="AR151" s="432">
        <f>INT(SUM(Tabela_SP4[[#This Row],[godziny.konsultacja]],Tabela_SP4[[#This Row],[godziny.egzamin]],Tabela_SP4[[#This Row],[godziny.zajec.razem]])*0.5+Tabela_SP4[[#This Row],[godziny.zajec.razem]]*(15-$G$191)/9)</f>
        <v>0</v>
      </c>
      <c r="AS151" s="433">
        <f>INT(Tabela_SP4[[#This Row],[godziny.zajec.razem]]*0.1)</f>
        <v>0</v>
      </c>
      <c r="AT151" s="409">
        <f>IF(Tabela_SP4[[#This Row],[godziny.zajec.razem]]&gt;0,IF(Tabela_SP4[[#This Row],[godziny.zajec.razem]]&gt;=45,4,2),0)</f>
        <v>0</v>
      </c>
      <c r="AU151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51" s="435">
        <f>IF(Tabela_SP4[[#This Row],[ects.bezposr.nauczyciel]],Tabela_SP4[[#This Row],[ects.bezposr.nauczyciel]]/Tabela_SP4[[#This Row],[ects.razem]],0)</f>
        <v>0</v>
      </c>
      <c r="AW151" s="207"/>
    </row>
    <row r="152" spans="1:49" ht="25.5" hidden="1" customHeight="1" x14ac:dyDescent="0.3">
      <c r="A152" s="207"/>
      <c r="B152" s="402"/>
      <c r="C152" s="403"/>
      <c r="D152" s="403"/>
      <c r="E152" s="362"/>
      <c r="F152" s="404"/>
      <c r="G152" s="405"/>
      <c r="H152" s="406"/>
      <c r="I152" s="407"/>
      <c r="J152" s="408"/>
      <c r="K152" s="409" t="str" cm="1">
        <f t="array" ref="K152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52" s="408"/>
      <c r="M152" s="410"/>
      <c r="N152" s="411" t="str" cm="1">
        <f t="array" ref="N152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52" s="410"/>
      <c r="P152" s="412"/>
      <c r="Q152" s="413" t="str" cm="1">
        <f t="array" ref="Q152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52" s="412"/>
      <c r="S152" s="414"/>
      <c r="T152" s="415" t="str" cm="1">
        <f t="array" ref="T152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52" s="414"/>
      <c r="V152" s="416"/>
      <c r="W152" s="417" t="str" cm="1">
        <f t="array" ref="W152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52" s="416"/>
      <c r="Y152" s="418"/>
      <c r="Z152" s="419" t="str" cm="1">
        <f t="array" ref="Z152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52" s="418"/>
      <c r="AB152" s="420"/>
      <c r="AC152" s="421" t="str" cm="1">
        <f t="array" ref="AC152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52" s="420"/>
      <c r="AE152" s="422"/>
      <c r="AF152" s="423" t="str" cm="1">
        <f t="array" ref="AF152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52" s="422"/>
      <c r="AH152" s="424"/>
      <c r="AI152" s="425" t="str" cm="1">
        <f t="array" ref="AI152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52" s="424"/>
      <c r="AK152" s="426"/>
      <c r="AL152" s="427" t="str" cm="1">
        <f t="array" ref="AL152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52" s="426"/>
      <c r="AN152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52" s="429">
        <f>IF(ISERR(SEARCH("UP",Tabela_SP4[[#This Row],[Umiej.prakt.]],1)),0,Tabela_SP4[[#This Row],[ects.razem]])</f>
        <v>0</v>
      </c>
      <c r="AP152" s="430">
        <f>IF(Tabela_SP4[[#This Row],[czy.ects]]="TAK",ROUND((SUM(Tabela_SP4[[#This Row],[godziny.konsultacja]],Tabela_SP4[[#This Row],[godziny.egzamin]],Tabela_SP4[[#This Row],[godziny.zajec.razem]])/25)/0.5,0)*0.5,0)</f>
        <v>0</v>
      </c>
      <c r="AQ152" s="431">
        <f>SUM(Tabela_SP4[[#This Row],[godziny.samoksztalcenie]],Tabela_SP4[[#This Row],[godziny.konsultacja]],Tabela_SP4[[#This Row],[godziny.egzamin]],Tabela_SP4[[#This Row],[godziny.zajec.razem]])</f>
        <v>0</v>
      </c>
      <c r="AR152" s="432">
        <f>INT(SUM(Tabela_SP4[[#This Row],[godziny.konsultacja]],Tabela_SP4[[#This Row],[godziny.egzamin]],Tabela_SP4[[#This Row],[godziny.zajec.razem]])*0.5+Tabela_SP4[[#This Row],[godziny.zajec.razem]]*(15-$G$191)/9)</f>
        <v>0</v>
      </c>
      <c r="AS152" s="433">
        <f>INT(Tabela_SP4[[#This Row],[godziny.zajec.razem]]*0.1)</f>
        <v>0</v>
      </c>
      <c r="AT152" s="409">
        <f>IF(Tabela_SP4[[#This Row],[godziny.zajec.razem]]&gt;0,IF(Tabela_SP4[[#This Row],[godziny.zajec.razem]]&gt;=45,4,2),0)</f>
        <v>0</v>
      </c>
      <c r="AU152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52" s="435">
        <f>IF(Tabela_SP4[[#This Row],[ects.bezposr.nauczyciel]],Tabela_SP4[[#This Row],[ects.bezposr.nauczyciel]]/Tabela_SP4[[#This Row],[ects.razem]],0)</f>
        <v>0</v>
      </c>
      <c r="AW152" s="207"/>
    </row>
    <row r="153" spans="1:49" ht="25.5" hidden="1" customHeight="1" x14ac:dyDescent="0.3">
      <c r="A153" s="207"/>
      <c r="B153" s="402"/>
      <c r="C153" s="403"/>
      <c r="D153" s="403"/>
      <c r="E153" s="362"/>
      <c r="F153" s="404"/>
      <c r="G153" s="405"/>
      <c r="H153" s="406"/>
      <c r="I153" s="407"/>
      <c r="J153" s="408"/>
      <c r="K153" s="409" t="str" cm="1">
        <f t="array" ref="K153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53" s="408"/>
      <c r="M153" s="410"/>
      <c r="N153" s="411" t="str" cm="1">
        <f t="array" ref="N153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53" s="410"/>
      <c r="P153" s="412"/>
      <c r="Q153" s="413" t="str" cm="1">
        <f t="array" ref="Q153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53" s="412"/>
      <c r="S153" s="414"/>
      <c r="T153" s="415" t="str" cm="1">
        <f t="array" ref="T153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53" s="414"/>
      <c r="V153" s="416"/>
      <c r="W153" s="417" t="str" cm="1">
        <f t="array" ref="W153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53" s="416"/>
      <c r="Y153" s="418"/>
      <c r="Z153" s="419" t="str" cm="1">
        <f t="array" ref="Z153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53" s="418"/>
      <c r="AB153" s="420"/>
      <c r="AC153" s="421" t="str" cm="1">
        <f t="array" ref="AC153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53" s="420"/>
      <c r="AE153" s="422"/>
      <c r="AF153" s="423" t="str" cm="1">
        <f t="array" ref="AF153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53" s="422"/>
      <c r="AH153" s="424"/>
      <c r="AI153" s="425" t="str" cm="1">
        <f t="array" ref="AI153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53" s="424"/>
      <c r="AK153" s="426"/>
      <c r="AL153" s="427" t="str" cm="1">
        <f t="array" ref="AL153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53" s="426"/>
      <c r="AN153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53" s="429">
        <f>IF(ISERR(SEARCH("UP",Tabela_SP4[[#This Row],[Umiej.prakt.]],1)),0,Tabela_SP4[[#This Row],[ects.razem]])</f>
        <v>0</v>
      </c>
      <c r="AP153" s="430">
        <f>IF(Tabela_SP4[[#This Row],[czy.ects]]="TAK",ROUND((SUM(Tabela_SP4[[#This Row],[godziny.konsultacja]],Tabela_SP4[[#This Row],[godziny.egzamin]],Tabela_SP4[[#This Row],[godziny.zajec.razem]])/25)/0.5,0)*0.5,0)</f>
        <v>0</v>
      </c>
      <c r="AQ153" s="431">
        <f>SUM(Tabela_SP4[[#This Row],[godziny.samoksztalcenie]],Tabela_SP4[[#This Row],[godziny.konsultacja]],Tabela_SP4[[#This Row],[godziny.egzamin]],Tabela_SP4[[#This Row],[godziny.zajec.razem]])</f>
        <v>0</v>
      </c>
      <c r="AR153" s="432">
        <f>INT(SUM(Tabela_SP4[[#This Row],[godziny.konsultacja]],Tabela_SP4[[#This Row],[godziny.egzamin]],Tabela_SP4[[#This Row],[godziny.zajec.razem]])*0.5+Tabela_SP4[[#This Row],[godziny.zajec.razem]]*(15-$G$191)/9)</f>
        <v>0</v>
      </c>
      <c r="AS153" s="433">
        <f>INT(Tabela_SP4[[#This Row],[godziny.zajec.razem]]*0.1)</f>
        <v>0</v>
      </c>
      <c r="AT153" s="409">
        <f>IF(Tabela_SP4[[#This Row],[godziny.zajec.razem]]&gt;0,IF(Tabela_SP4[[#This Row],[godziny.zajec.razem]]&gt;=45,4,2),0)</f>
        <v>0</v>
      </c>
      <c r="AU153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53" s="435">
        <f>IF(Tabela_SP4[[#This Row],[ects.bezposr.nauczyciel]],Tabela_SP4[[#This Row],[ects.bezposr.nauczyciel]]/Tabela_SP4[[#This Row],[ects.razem]],0)</f>
        <v>0</v>
      </c>
      <c r="AW153" s="207"/>
    </row>
    <row r="154" spans="1:49" ht="25.5" hidden="1" customHeight="1" x14ac:dyDescent="0.3">
      <c r="A154" s="207"/>
      <c r="B154" s="402"/>
      <c r="C154" s="403"/>
      <c r="D154" s="403"/>
      <c r="E154" s="363"/>
      <c r="F154" s="404"/>
      <c r="G154" s="405"/>
      <c r="H154" s="406"/>
      <c r="I154" s="407"/>
      <c r="J154" s="408"/>
      <c r="K154" s="409" t="str" cm="1">
        <f t="array" ref="K154">IF(Tabela_SP4[[#This Row],[czy.ects]]="TAK",_xlfn.IFS(AND(Tabela_SP4[[#This Row],[sem1.godziny]]&gt;=$Q$191,Tabela_SP4[[#This Row],[sem1.forma]]="z"),8,AND(Tabela_SP4[[#This Row],[sem1.godziny]]&gt;=$I$191,Tabela_SP4[[#This Row],[sem1.forma]]="z"),4,AND(Tabela_SP4[[#This Row],[sem1.godziny]]&gt;=$H$191,Tabela_SP4[[#This Row],[sem1.forma]]="e"),2,AND(Tabela_SP4[[#This Row],[sem1.godziny]]&lt;$H$191,Tabela_SP4[[#This Row],[sem1.forma]]="e"),1,AND(Tabela_SP4[[#This Row],[sem1.godziny]]&gt;=$H$191,Tabela_SP4[[#This Row],[sem1.forma]]="z"),2,AND(Tabela_SP4[[#This Row],[sem1.godziny]]&lt;$H$191,Tabela_SP4[[#This Row],[sem1.forma]]="z"),1,TRUE,""),"")</f>
        <v/>
      </c>
      <c r="L154" s="408"/>
      <c r="M154" s="410"/>
      <c r="N154" s="411" t="str" cm="1">
        <f t="array" ref="N154">IF(Tabela_SP4[[#This Row],[czy.ects]]="TAK",_xlfn.IFS(AND(Tabela_SP4[[#This Row],[sem2.godziny]]&gt;=$Q$191,Tabela_SP4[[#This Row],[sem2.forma]]="z"),8,AND(Tabela_SP4[[#This Row],[sem2.godziny]]&gt;=$I$191,Tabela_SP4[[#This Row],[sem2.forma]]="z"),4,AND(Tabela_SP4[[#This Row],[sem2.godziny]]&gt;=$H$191,Tabela_SP4[[#This Row],[sem2.forma]]="e"),2,AND(Tabela_SP4[[#This Row],[sem2.godziny]]&lt;$H$191,Tabela_SP4[[#This Row],[sem2.forma]]="e"),1,AND(Tabela_SP4[[#This Row],[sem2.godziny]]&gt;=$H$191,Tabela_SP4[[#This Row],[sem2.forma]]="z"),2,AND(Tabela_SP4[[#This Row],[sem2.godziny]]&lt;$H$191,Tabela_SP4[[#This Row],[sem2.forma]]="z"),1,TRUE,""),"")</f>
        <v/>
      </c>
      <c r="O154" s="410"/>
      <c r="P154" s="412"/>
      <c r="Q154" s="413" t="str" cm="1">
        <f t="array" ref="Q154">IF(Tabela_SP4[[#This Row],[czy.ects]]="TAK",_xlfn.IFS(AND(Tabela_SP4[[#This Row],[sem3.godziny]]&gt;=$Q$191,Tabela_SP4[[#This Row],[sem3.forma]]="z"),8,AND(Tabela_SP4[[#This Row],[sem3.godziny]]&gt;=$I$191,Tabela_SP4[[#This Row],[sem3.forma]]="z"),4,AND(Tabela_SP4[[#This Row],[sem3.godziny]]&gt;=$H$191,Tabela_SP4[[#This Row],[sem3.forma]]="e"),2,AND(Tabela_SP4[[#This Row],[sem3.godziny]]&lt;$H$191,Tabela_SP4[[#This Row],[sem3.forma]]="e"),1,AND(Tabela_SP4[[#This Row],[sem3.godziny]]&gt;=$H$191,Tabela_SP4[[#This Row],[sem3.forma]]="z"),2,AND(Tabela_SP4[[#This Row],[sem3.godziny]]&lt;$H$191,Tabela_SP4[[#This Row],[sem3.forma]]="z"),1,TRUE,""),"")</f>
        <v/>
      </c>
      <c r="R154" s="412"/>
      <c r="S154" s="414"/>
      <c r="T154" s="415" t="str" cm="1">
        <f t="array" ref="T154">IF(Tabela_SP4[[#This Row],[czy.ects]]="TAK",_xlfn.IFS(AND(Tabela_SP4[[#This Row],[sem4.godziny]]&gt;=$Q$191,Tabela_SP4[[#This Row],[sem4.forma]]="z"),8,AND(Tabela_SP4[[#This Row],[sem4.godziny]]&gt;=$I$191,Tabela_SP4[[#This Row],[sem4.forma]]="z"),4,AND(Tabela_SP4[[#This Row],[sem4.godziny]]&gt;=$H$191,Tabela_SP4[[#This Row],[sem4.forma]]="e"),2,AND(Tabela_SP4[[#This Row],[sem4.godziny]]&lt;$H$191,Tabela_SP4[[#This Row],[sem4.forma]]="e"),1,AND(Tabela_SP4[[#This Row],[sem4.godziny]]&gt;=$H$191,Tabela_SP4[[#This Row],[sem4.forma]]="z"),2,AND(Tabela_SP4[[#This Row],[sem4.godziny]]&lt;$H$191,Tabela_SP4[[#This Row],[sem4.forma]]="z"),1,TRUE,""),"")</f>
        <v/>
      </c>
      <c r="U154" s="414"/>
      <c r="V154" s="416"/>
      <c r="W154" s="417" t="str" cm="1">
        <f t="array" ref="W154">IF(Tabela_SP4[[#This Row],[czy.ects]]="TAK",_xlfn.IFS(AND(Tabela_SP4[[#This Row],[sem5.godziny]]&gt;=$Q$191,Tabela_SP4[[#This Row],[sem5.forma]]="z"),8,AND(Tabela_SP4[[#This Row],[sem5.godziny]]&gt;=$I$191,Tabela_SP4[[#This Row],[sem5.forma]]="z"),4,AND(Tabela_SP4[[#This Row],[sem5.godziny]]&gt;=$H$191,Tabela_SP4[[#This Row],[sem5.forma]]="e"),2,AND(Tabela_SP4[[#This Row],[sem5.godziny]]&lt;$H$191,Tabela_SP4[[#This Row],[sem5.forma]]="e"),1,AND(Tabela_SP4[[#This Row],[sem5.godziny]]&gt;=$H$191,Tabela_SP4[[#This Row],[sem5.forma]]="z"),2,AND(Tabela_SP4[[#This Row],[sem5.godziny]]&lt;$H$191,Tabela_SP4[[#This Row],[sem5.forma]]="z"),1,TRUE,""),"")</f>
        <v/>
      </c>
      <c r="X154" s="416"/>
      <c r="Y154" s="418"/>
      <c r="Z154" s="419" t="str" cm="1">
        <f t="array" ref="Z154">IF(Tabela_SP4[[#This Row],[czy.ects]]="TAK",_xlfn.IFS(AND(Tabela_SP4[[#This Row],[sem6.godziny]]&gt;=$Q$191,Tabela_SP4[[#This Row],[sem6.forma]]="z"),8,AND(Tabela_SP4[[#This Row],[sem6.godziny]]&gt;=$I$191,Tabela_SP4[[#This Row],[sem6.forma]]="z"),4,AND(Tabela_SP4[[#This Row],[sem6.godziny]]&gt;=$H$191,Tabela_SP4[[#This Row],[sem6.forma]]="e"),2,AND(Tabela_SP4[[#This Row],[sem6.godziny]]&lt;$H$191,Tabela_SP4[[#This Row],[sem6.forma]]="e"),1,AND(Tabela_SP4[[#This Row],[sem6.godziny]]&gt;=$H$191,Tabela_SP4[[#This Row],[sem6.forma]]="z"),2,AND(Tabela_SP4[[#This Row],[sem6.godziny]]&lt;$H$191,Tabela_SP4[[#This Row],[sem6.forma]]="z"),1,TRUE,""),"")</f>
        <v/>
      </c>
      <c r="AA154" s="418"/>
      <c r="AB154" s="420"/>
      <c r="AC154" s="421" t="str" cm="1">
        <f t="array" ref="AC154">IF(Tabela_SP4[[#This Row],[czy.ects]]="TAK",_xlfn.IFS(AND(Tabela_SP4[[#This Row],[sem7.godziny]]&gt;=$Q$191,Tabela_SP4[[#This Row],[sem7.forma]]="z"),8,AND(Tabela_SP4[[#This Row],[sem7.godziny]]&gt;=$I$191,Tabela_SP4[[#This Row],[sem7.forma]]="z"),4,AND(Tabela_SP4[[#This Row],[sem7.godziny]]&gt;=$H$191,Tabela_SP4[[#This Row],[sem7.forma]]="e"),2,AND(Tabela_SP4[[#This Row],[sem7.godziny]]&lt;$H$191,Tabela_SP4[[#This Row],[sem7.forma]]="e"),1,AND(Tabela_SP4[[#This Row],[sem7.godziny]]&gt;=$H$191,Tabela_SP4[[#This Row],[sem7.forma]]="z"),2,AND(Tabela_SP4[[#This Row],[sem7.godziny]]&lt;$H$191,Tabela_SP4[[#This Row],[sem7.forma]]="z"),1,TRUE,""),"")</f>
        <v/>
      </c>
      <c r="AD154" s="420"/>
      <c r="AE154" s="422"/>
      <c r="AF154" s="423" t="str" cm="1">
        <f t="array" ref="AF154">IF(Tabela_SP4[[#This Row],[czy.ects]]="TAK",_xlfn.IFS(AND(Tabela_SP4[[#This Row],[sem8.godziny]]&gt;=$Q$191,Tabela_SP4[[#This Row],[sem8.forma]]="z"),8,AND(Tabela_SP4[[#This Row],[sem8.godziny]]&gt;=$I$191,Tabela_SP4[[#This Row],[sem8.forma]]="z"),4,AND(Tabela_SP4[[#This Row],[sem8.godziny]]&gt;=$H$191,Tabela_SP4[[#This Row],[sem8.forma]]="e"),2,AND(Tabela_SP4[[#This Row],[sem8.godziny]]&lt;$H$191,Tabela_SP4[[#This Row],[sem8.forma]]="e"),1,AND(Tabela_SP4[[#This Row],[sem8.godziny]]&gt;=$H$191,Tabela_SP4[[#This Row],[sem8.forma]]="z"),2,AND(Tabela_SP4[[#This Row],[sem8.godziny]]&lt;$H$191,Tabela_SP4[[#This Row],[sem8.forma]]="z"),1,TRUE,""),"")</f>
        <v/>
      </c>
      <c r="AG154" s="422"/>
      <c r="AH154" s="424"/>
      <c r="AI154" s="425" t="str" cm="1">
        <f t="array" ref="AI154">IF(Tabela_SP4[[#This Row],[czy.ects]]="TAK",_xlfn.IFS(AND(Tabela_SP4[[#This Row],[sem9.godziny]]&gt;=$Q$191,Tabela_SP4[[#This Row],[sem9.forma]]="z"),8,AND(Tabela_SP4[[#This Row],[sem9.godziny]]&gt;=$I$191,Tabela_SP4[[#This Row],[sem9.forma]]="z"),4,AND(Tabela_SP4[[#This Row],[sem9.godziny]]&gt;=$H$191,Tabela_SP4[[#This Row],[sem9.forma]]="e"),2,AND(Tabela_SP4[[#This Row],[sem9.godziny]]&lt;$H$191,Tabela_SP4[[#This Row],[sem9.forma]]="e"),1,AND(Tabela_SP4[[#This Row],[sem9.godziny]]&gt;=$H$191,Tabela_SP4[[#This Row],[sem9.forma]]="z"),2,AND(Tabela_SP4[[#This Row],[sem9.godziny]]&lt;$H$191,Tabela_SP4[[#This Row],[sem9.forma]]="z"),1,TRUE,""),"")</f>
        <v/>
      </c>
      <c r="AJ154" s="424"/>
      <c r="AK154" s="426"/>
      <c r="AL154" s="427" t="str" cm="1">
        <f t="array" ref="AL154">IF(Tabela_SP4[[#This Row],[czy.ects]]="TAK",_xlfn.IFS(AND(Tabela_SP4[[#This Row],[sem10.godziny]]&gt;=$Q$191,Tabela_SP4[[#This Row],[sem10.forma]]="z"),8,AND(Tabela_SP4[[#This Row],[sem10.godziny]]&gt;=$I$191,Tabela_SP4[[#This Row],[sem10.forma]]="z"),4,AND(Tabela_SP4[[#This Row],[sem10.godziny]]&gt;=$H$191,Tabela_SP4[[#This Row],[sem10.forma]]="e"),2,AND(Tabela_SP4[[#This Row],[sem10.godziny]]&lt;$H$191,Tabela_SP4[[#This Row],[sem10.forma]]="e"),1,AND(Tabela_SP4[[#This Row],[sem10.godziny]]&gt;=$H$191,Tabela_SP4[[#This Row],[sem10.forma]]="z"),2,AND(Tabela_SP4[[#This Row],[sem10.godziny]]&lt;$H$191,Tabela_SP4[[#This Row],[sem10.forma]]="z"),1,TRUE,""),"")</f>
        <v/>
      </c>
      <c r="AM154" s="426"/>
      <c r="AN154" s="428">
        <f>SUM(Tabela_SP4[[#This Row],[sem1.ects]],Tabela_SP4[[#This Row],[sem2.ects]],Tabela_SP4[[#This Row],[sem3.ects]],Tabela_SP4[[#This Row],[sem4.ects]],Tabela_SP4[[#This Row],[sem5.ects]],Tabela_SP4[[#This Row],[sem6.ects]],Tabela_SP4[[#This Row],[sem7.ects]],Tabela_SP4[[#This Row],[sem8.ects]],Tabela_SP4[[#This Row],[sem9.ects]],Tabela_SP4[[#This Row],[sem10.ects]])</f>
        <v>0</v>
      </c>
      <c r="AO154" s="429">
        <f>IF(ISERR(SEARCH("UP",Tabela_SP4[[#This Row],[Umiej.prakt.]],1)),0,Tabela_SP4[[#This Row],[ects.razem]])</f>
        <v>0</v>
      </c>
      <c r="AP154" s="430">
        <f>IF(Tabela_SP4[[#This Row],[czy.ects]]="TAK",ROUND((SUM(Tabela_SP4[[#This Row],[godziny.konsultacja]],Tabela_SP4[[#This Row],[godziny.egzamin]],Tabela_SP4[[#This Row],[godziny.zajec.razem]])/25)/0.5,0)*0.5,0)</f>
        <v>0</v>
      </c>
      <c r="AQ154" s="431">
        <f>SUM(Tabela_SP4[[#This Row],[godziny.samoksztalcenie]],Tabela_SP4[[#This Row],[godziny.konsultacja]],Tabela_SP4[[#This Row],[godziny.egzamin]],Tabela_SP4[[#This Row],[godziny.zajec.razem]])</f>
        <v>0</v>
      </c>
      <c r="AR154" s="432">
        <f>INT(SUM(Tabela_SP4[[#This Row],[godziny.konsultacja]],Tabela_SP4[[#This Row],[godziny.egzamin]],Tabela_SP4[[#This Row],[godziny.zajec.razem]])*0.5+Tabela_SP4[[#This Row],[godziny.zajec.razem]]*(15-$G$191)/9)</f>
        <v>0</v>
      </c>
      <c r="AS154" s="433">
        <f>INT(Tabela_SP4[[#This Row],[godziny.zajec.razem]]*0.1)</f>
        <v>0</v>
      </c>
      <c r="AT154" s="409">
        <f>IF(Tabela_SP4[[#This Row],[godziny.zajec.razem]]&gt;0,IF(Tabela_SP4[[#This Row],[godziny.zajec.razem]]&gt;=45,4,2),0)</f>
        <v>0</v>
      </c>
      <c r="AU154" s="434">
        <f>SUM(Tabela_SP4[[#This Row],[sem1.godziny]],Tabela_SP4[[#This Row],[sem2.godziny]],Tabela_SP4[[#This Row],[sem3.godziny]],Tabela_SP4[[#This Row],[sem4.godziny]],Tabela_SP4[[#This Row],[sem5.godziny]],Tabela_SP4[[#This Row],[sem6.godziny]],Tabela_SP4[[#This Row],[sem7.godziny]],Tabela_SP4[[#This Row],[sem8.godziny]],Tabela_SP4[[#This Row],[sem9.godziny]],Tabela_SP4[[#This Row],[sem10.godziny]])</f>
        <v>0</v>
      </c>
      <c r="AV154" s="435">
        <f>IF(Tabela_SP4[[#This Row],[ects.bezposr.nauczyciel]],Tabela_SP4[[#This Row],[ects.bezposr.nauczyciel]]/Tabela_SP4[[#This Row],[ects.razem]],0)</f>
        <v>0</v>
      </c>
      <c r="AW154" s="207"/>
    </row>
    <row r="155" spans="1:49" ht="8.25" hidden="1" customHeight="1" thickBot="1" x14ac:dyDescent="0.35">
      <c r="A155" s="207"/>
      <c r="B155" s="77"/>
      <c r="C155" s="49"/>
      <c r="D155" s="49"/>
      <c r="E155" s="49"/>
      <c r="F155" s="7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78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207"/>
      <c r="AP155" s="207"/>
      <c r="AQ155" s="207"/>
      <c r="AR155" s="207"/>
      <c r="AS155" s="207"/>
      <c r="AT155" s="207"/>
      <c r="AU155" s="207"/>
      <c r="AV155" s="207"/>
      <c r="AW155" s="207"/>
    </row>
    <row r="156" spans="1:49" ht="25.5" hidden="1" customHeight="1" thickBot="1" x14ac:dyDescent="0.35">
      <c r="A156" s="207"/>
      <c r="B156" s="762" t="s">
        <v>436</v>
      </c>
      <c r="C156" s="763"/>
      <c r="D156" s="763"/>
      <c r="E156" s="763"/>
      <c r="F156" s="763"/>
      <c r="G156" s="763"/>
      <c r="H156" s="763"/>
      <c r="I156" s="763"/>
      <c r="J156" s="464">
        <f>SUM(Tabela_SP5[sem1.godziny])</f>
        <v>0</v>
      </c>
      <c r="K156" s="464">
        <f>SUM(Tabela_SP5[sem1.ects])</f>
        <v>0</v>
      </c>
      <c r="L156" s="464"/>
      <c r="M156" s="464">
        <f>SUM(Tabela_SP5[sem2.godziny])</f>
        <v>0</v>
      </c>
      <c r="N156" s="464">
        <f>SUM(Tabela_SP5[sem2.ects])</f>
        <v>0</v>
      </c>
      <c r="O156" s="464"/>
      <c r="P156" s="464">
        <f>SUM(Tabela_SP5[sem3.godziny])</f>
        <v>0</v>
      </c>
      <c r="Q156" s="464">
        <f>SUM(Tabela_SP5[sem3.ects])</f>
        <v>0</v>
      </c>
      <c r="R156" s="464"/>
      <c r="S156" s="464">
        <f>SUM(Tabela_SP5[sem4.godziny])</f>
        <v>0</v>
      </c>
      <c r="T156" s="464">
        <f>SUM(Tabela_SP5[sem4.ects])</f>
        <v>0</v>
      </c>
      <c r="U156" s="464"/>
      <c r="V156" s="464">
        <f>SUM(Tabela_SP5[sem5.godziny])</f>
        <v>0</v>
      </c>
      <c r="W156" s="464">
        <f>SUM(Tabela_SP5[sem5.ects])</f>
        <v>0</v>
      </c>
      <c r="X156" s="464"/>
      <c r="Y156" s="464">
        <f>SUM(Tabela_SP5[sem6.godziny])</f>
        <v>0</v>
      </c>
      <c r="Z156" s="464">
        <f>SUM(Tabela_SP5[sem6.ects])</f>
        <v>0</v>
      </c>
      <c r="AA156" s="464"/>
      <c r="AB156" s="464">
        <f>SUM(Tabela_SP5[sem7.godziny])</f>
        <v>0</v>
      </c>
      <c r="AC156" s="464">
        <f>SUM(Tabela_SP5[sem7.ects])</f>
        <v>0</v>
      </c>
      <c r="AD156" s="464"/>
      <c r="AE156" s="464">
        <f>SUM(Tabela_SP5[sem8.godziny])</f>
        <v>0</v>
      </c>
      <c r="AF156" s="464">
        <f>SUM(Tabela_SP5[sem8.ects])</f>
        <v>0</v>
      </c>
      <c r="AG156" s="464"/>
      <c r="AH156" s="464">
        <f>SUM(Tabela_SP5[sem9.godziny])</f>
        <v>0</v>
      </c>
      <c r="AI156" s="464">
        <f>SUM(Tabela_SP5[sem9.ects])</f>
        <v>0</v>
      </c>
      <c r="AJ156" s="464"/>
      <c r="AK156" s="464">
        <f>SUM(Tabela_SP5[sem10.godziny])</f>
        <v>0</v>
      </c>
      <c r="AL156" s="464">
        <f>SUM(Tabela_SP5[sem10.ects])</f>
        <v>0</v>
      </c>
      <c r="AM156" s="464"/>
      <c r="AN156" s="464">
        <f>SUM(Tabela_SP5[ects.razem])</f>
        <v>0</v>
      </c>
      <c r="AO156" s="464">
        <f>SUM(Tabela_SP5[ects.umiej.prakt.])</f>
        <v>0</v>
      </c>
      <c r="AP156" s="464">
        <f>SUM(Tabela_SP5[ects.bezposr.nauczyciel])</f>
        <v>0</v>
      </c>
      <c r="AQ156" s="464">
        <f>SUM(Tabela_SP5[godziny.razem.student])</f>
        <v>0</v>
      </c>
      <c r="AR156" s="464">
        <f>SUM(Tabela_SP5[godziny.samoksztalcenie])</f>
        <v>0</v>
      </c>
      <c r="AS156" s="464">
        <f>SUM(Tabela_SP5[godziny.konsultacja])</f>
        <v>0</v>
      </c>
      <c r="AT156" s="464">
        <f>SUM(Tabela_SP5[godziny.egzamin])</f>
        <v>0</v>
      </c>
      <c r="AU156" s="464">
        <f>SUM(Tabela_SP5[godziny.zajec.razem])</f>
        <v>0</v>
      </c>
      <c r="AV156" s="465"/>
      <c r="AW156" s="207"/>
    </row>
    <row r="157" spans="1:49" ht="25.5" hidden="1" customHeight="1" x14ac:dyDescent="0.3">
      <c r="A157" s="207"/>
      <c r="B157" s="466" t="s">
        <v>374</v>
      </c>
      <c r="C157" s="467" t="s">
        <v>373</v>
      </c>
      <c r="D157" s="467" t="s">
        <v>372</v>
      </c>
      <c r="E157" s="467" t="s">
        <v>371</v>
      </c>
      <c r="F157" s="468" t="s">
        <v>368</v>
      </c>
      <c r="G157" s="469" t="s">
        <v>369</v>
      </c>
      <c r="H157" s="470" t="s">
        <v>370</v>
      </c>
      <c r="I157" s="471" t="s">
        <v>375</v>
      </c>
      <c r="J157" s="472" t="s">
        <v>376</v>
      </c>
      <c r="K157" s="473" t="s">
        <v>377</v>
      </c>
      <c r="L157" s="472" t="s">
        <v>378</v>
      </c>
      <c r="M157" s="474" t="s">
        <v>379</v>
      </c>
      <c r="N157" s="475" t="s">
        <v>380</v>
      </c>
      <c r="O157" s="474" t="s">
        <v>381</v>
      </c>
      <c r="P157" s="476" t="s">
        <v>382</v>
      </c>
      <c r="Q157" s="477" t="s">
        <v>383</v>
      </c>
      <c r="R157" s="476" t="s">
        <v>384</v>
      </c>
      <c r="S157" s="478" t="s">
        <v>385</v>
      </c>
      <c r="T157" s="479" t="s">
        <v>386</v>
      </c>
      <c r="U157" s="478" t="s">
        <v>387</v>
      </c>
      <c r="V157" s="480" t="s">
        <v>388</v>
      </c>
      <c r="W157" s="481" t="s">
        <v>389</v>
      </c>
      <c r="X157" s="480" t="s">
        <v>390</v>
      </c>
      <c r="Y157" s="482" t="s">
        <v>391</v>
      </c>
      <c r="Z157" s="483" t="s">
        <v>392</v>
      </c>
      <c r="AA157" s="482" t="s">
        <v>393</v>
      </c>
      <c r="AB157" s="484" t="s">
        <v>394</v>
      </c>
      <c r="AC157" s="485" t="s">
        <v>395</v>
      </c>
      <c r="AD157" s="484" t="s">
        <v>396</v>
      </c>
      <c r="AE157" s="423" t="s">
        <v>409</v>
      </c>
      <c r="AF157" s="423" t="s">
        <v>410</v>
      </c>
      <c r="AG157" s="423" t="s">
        <v>411</v>
      </c>
      <c r="AH157" s="425" t="s">
        <v>412</v>
      </c>
      <c r="AI157" s="425" t="s">
        <v>413</v>
      </c>
      <c r="AJ157" s="425" t="s">
        <v>414</v>
      </c>
      <c r="AK157" s="427" t="s">
        <v>415</v>
      </c>
      <c r="AL157" s="427" t="s">
        <v>416</v>
      </c>
      <c r="AM157" s="427" t="s">
        <v>417</v>
      </c>
      <c r="AN157" s="486" t="s">
        <v>397</v>
      </c>
      <c r="AO157" s="487" t="s">
        <v>398</v>
      </c>
      <c r="AP157" s="488" t="s">
        <v>399</v>
      </c>
      <c r="AQ157" s="489" t="s">
        <v>400</v>
      </c>
      <c r="AR157" s="490" t="s">
        <v>401</v>
      </c>
      <c r="AS157" s="491" t="s">
        <v>402</v>
      </c>
      <c r="AT157" s="473" t="s">
        <v>403</v>
      </c>
      <c r="AU157" s="492" t="s">
        <v>404</v>
      </c>
      <c r="AV157" s="493" t="s">
        <v>405</v>
      </c>
      <c r="AW157" s="207"/>
    </row>
    <row r="158" spans="1:49" ht="25.5" hidden="1" customHeight="1" x14ac:dyDescent="0.3">
      <c r="A158" s="207"/>
      <c r="B158" s="402"/>
      <c r="C158" s="403"/>
      <c r="D158" s="403"/>
      <c r="E158" s="362"/>
      <c r="F158" s="404"/>
      <c r="G158" s="405"/>
      <c r="H158" s="406"/>
      <c r="I158" s="407"/>
      <c r="J158" s="408"/>
      <c r="K158" s="409" t="str" cm="1">
        <f t="array" ref="K158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58" s="408"/>
      <c r="M158" s="410"/>
      <c r="N158" s="411" t="str" cm="1">
        <f t="array" ref="N158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58" s="410"/>
      <c r="P158" s="412"/>
      <c r="Q158" s="413" t="str" cm="1">
        <f t="array" ref="Q158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58" s="412"/>
      <c r="S158" s="414"/>
      <c r="T158" s="415" t="str" cm="1">
        <f t="array" ref="T158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58" s="414"/>
      <c r="V158" s="416"/>
      <c r="W158" s="417" t="str" cm="1">
        <f t="array" ref="W158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58" s="416"/>
      <c r="Y158" s="418"/>
      <c r="Z158" s="419" t="str" cm="1">
        <f t="array" ref="Z158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58" s="418"/>
      <c r="AB158" s="420"/>
      <c r="AC158" s="421" t="str" cm="1">
        <f t="array" ref="AC158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58" s="420"/>
      <c r="AE158" s="422"/>
      <c r="AF158" s="423" t="str" cm="1">
        <f t="array" ref="AF158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58" s="422"/>
      <c r="AH158" s="424"/>
      <c r="AI158" s="425" t="str" cm="1">
        <f t="array" ref="AI158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58" s="424"/>
      <c r="AK158" s="426"/>
      <c r="AL158" s="427" t="str" cm="1">
        <f t="array" ref="AL158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58" s="426"/>
      <c r="AN158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58" s="429">
        <f>IF(ISERR(SEARCH("UP",Tabela_SP5[[#This Row],[Umiej.prakt.]],1)),0,Tabela_SP5[[#This Row],[ects.razem]])</f>
        <v>0</v>
      </c>
      <c r="AP158" s="430">
        <f>IF(Tabela_SP5[[#This Row],[czy.ects]]="TAK",ROUND((SUM(Tabela_SP5[[#This Row],[godziny.konsultacja]],Tabela_SP5[[#This Row],[godziny.egzamin]],Tabela_SP5[[#This Row],[godziny.zajec.razem]])/25)/0.5,0)*0.5,0)</f>
        <v>0</v>
      </c>
      <c r="AQ158" s="431">
        <f>SUM(Tabela_SP5[[#This Row],[godziny.samoksztalcenie]],Tabela_SP5[[#This Row],[godziny.konsultacja]],Tabela_SP5[[#This Row],[godziny.egzamin]],Tabela_SP5[[#This Row],[godziny.zajec.razem]])</f>
        <v>0</v>
      </c>
      <c r="AR158" s="432">
        <f>INT(SUM(Tabela_SP5[[#This Row],[godziny.konsultacja]],Tabela_SP5[[#This Row],[godziny.egzamin]],Tabela_SP5[[#This Row],[godziny.zajec.razem]])*0.5+Tabela_SP5[[#This Row],[godziny.zajec.razem]]*(15-$G$191)/9)</f>
        <v>0</v>
      </c>
      <c r="AS158" s="433">
        <f>INT(Tabela_SP5[[#This Row],[godziny.zajec.razem]]*0.1)</f>
        <v>0</v>
      </c>
      <c r="AT158" s="409">
        <f>IF(Tabela_SP5[[#This Row],[godziny.zajec.razem]]&gt;0,IF(Tabela_SP5[[#This Row],[godziny.zajec.razem]]&gt;=45,4,2),0)</f>
        <v>0</v>
      </c>
      <c r="AU158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58" s="435">
        <f>IF(Tabela_SP5[[#This Row],[ects.bezposr.nauczyciel]],Tabela_SP5[[#This Row],[ects.bezposr.nauczyciel]]/Tabela_SP5[[#This Row],[ects.razem]],0)</f>
        <v>0</v>
      </c>
      <c r="AW158" s="207"/>
    </row>
    <row r="159" spans="1:49" ht="25.5" hidden="1" customHeight="1" x14ac:dyDescent="0.3">
      <c r="A159" s="207"/>
      <c r="B159" s="402"/>
      <c r="C159" s="403"/>
      <c r="D159" s="403"/>
      <c r="E159" s="362"/>
      <c r="F159" s="404"/>
      <c r="G159" s="405"/>
      <c r="H159" s="406"/>
      <c r="I159" s="407"/>
      <c r="J159" s="408"/>
      <c r="K159" s="409" t="str" cm="1">
        <f t="array" ref="K159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59" s="408"/>
      <c r="M159" s="410"/>
      <c r="N159" s="411" t="str" cm="1">
        <f t="array" ref="N159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59" s="410"/>
      <c r="P159" s="412"/>
      <c r="Q159" s="413" t="str" cm="1">
        <f t="array" ref="Q159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59" s="412"/>
      <c r="S159" s="414"/>
      <c r="T159" s="415" t="str" cm="1">
        <f t="array" ref="T159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59" s="414"/>
      <c r="V159" s="416"/>
      <c r="W159" s="417" t="str" cm="1">
        <f t="array" ref="W159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59" s="416"/>
      <c r="Y159" s="418"/>
      <c r="Z159" s="419" t="str" cm="1">
        <f t="array" ref="Z159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59" s="418"/>
      <c r="AB159" s="420"/>
      <c r="AC159" s="421" t="str" cm="1">
        <f t="array" ref="AC159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59" s="420"/>
      <c r="AE159" s="422"/>
      <c r="AF159" s="423" t="str" cm="1">
        <f t="array" ref="AF159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59" s="422"/>
      <c r="AH159" s="424"/>
      <c r="AI159" s="425" t="str" cm="1">
        <f t="array" ref="AI159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59" s="424"/>
      <c r="AK159" s="426"/>
      <c r="AL159" s="427" t="str" cm="1">
        <f t="array" ref="AL159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59" s="426"/>
      <c r="AN159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59" s="429">
        <f>IF(ISERR(SEARCH("UP",Tabela_SP5[[#This Row],[Umiej.prakt.]],1)),0,Tabela_SP5[[#This Row],[ects.razem]])</f>
        <v>0</v>
      </c>
      <c r="AP159" s="430">
        <f>IF(Tabela_SP5[[#This Row],[czy.ects]]="TAK",ROUND((SUM(Tabela_SP5[[#This Row],[godziny.konsultacja]],Tabela_SP5[[#This Row],[godziny.egzamin]],Tabela_SP5[[#This Row],[godziny.zajec.razem]])/25)/0.5,0)*0.5,0)</f>
        <v>0</v>
      </c>
      <c r="AQ159" s="431">
        <f>SUM(Tabela_SP5[[#This Row],[godziny.samoksztalcenie]],Tabela_SP5[[#This Row],[godziny.konsultacja]],Tabela_SP5[[#This Row],[godziny.egzamin]],Tabela_SP5[[#This Row],[godziny.zajec.razem]])</f>
        <v>0</v>
      </c>
      <c r="AR159" s="432">
        <f>INT(SUM(Tabela_SP5[[#This Row],[godziny.konsultacja]],Tabela_SP5[[#This Row],[godziny.egzamin]],Tabela_SP5[[#This Row],[godziny.zajec.razem]])*0.5+Tabela_SP5[[#This Row],[godziny.zajec.razem]]*(15-$G$191)/9)</f>
        <v>0</v>
      </c>
      <c r="AS159" s="433">
        <f>INT(Tabela_SP5[[#This Row],[godziny.zajec.razem]]*0.1)</f>
        <v>0</v>
      </c>
      <c r="AT159" s="409">
        <f>IF(Tabela_SP5[[#This Row],[godziny.zajec.razem]]&gt;0,IF(Tabela_SP5[[#This Row],[godziny.zajec.razem]]&gt;=45,4,2),0)</f>
        <v>0</v>
      </c>
      <c r="AU159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59" s="435">
        <f>IF(Tabela_SP5[[#This Row],[ects.bezposr.nauczyciel]],Tabela_SP5[[#This Row],[ects.bezposr.nauczyciel]]/Tabela_SP5[[#This Row],[ects.razem]],0)</f>
        <v>0</v>
      </c>
      <c r="AW159" s="207"/>
    </row>
    <row r="160" spans="1:49" ht="25.5" hidden="1" customHeight="1" x14ac:dyDescent="0.3">
      <c r="A160" s="207"/>
      <c r="B160" s="402"/>
      <c r="C160" s="403"/>
      <c r="D160" s="403"/>
      <c r="E160" s="362"/>
      <c r="F160" s="404"/>
      <c r="G160" s="405"/>
      <c r="H160" s="406"/>
      <c r="I160" s="407"/>
      <c r="J160" s="408"/>
      <c r="K160" s="409" t="str" cm="1">
        <f t="array" ref="K160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0" s="408"/>
      <c r="M160" s="410"/>
      <c r="N160" s="411" t="str" cm="1">
        <f t="array" ref="N160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0" s="410"/>
      <c r="P160" s="412"/>
      <c r="Q160" s="413" t="str" cm="1">
        <f t="array" ref="Q160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0" s="412"/>
      <c r="S160" s="414"/>
      <c r="T160" s="415" t="str" cm="1">
        <f t="array" ref="T160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0" s="414"/>
      <c r="V160" s="416"/>
      <c r="W160" s="417" t="str" cm="1">
        <f t="array" ref="W160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0" s="416"/>
      <c r="Y160" s="418"/>
      <c r="Z160" s="419" t="str" cm="1">
        <f t="array" ref="Z160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0" s="418"/>
      <c r="AB160" s="420"/>
      <c r="AC160" s="421" t="str" cm="1">
        <f t="array" ref="AC160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0" s="420"/>
      <c r="AE160" s="422"/>
      <c r="AF160" s="423" t="str" cm="1">
        <f t="array" ref="AF160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0" s="422"/>
      <c r="AH160" s="424"/>
      <c r="AI160" s="425" t="str" cm="1">
        <f t="array" ref="AI160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0" s="424"/>
      <c r="AK160" s="426"/>
      <c r="AL160" s="427" t="str" cm="1">
        <f t="array" ref="AL160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0" s="426"/>
      <c r="AN160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0" s="429">
        <f>IF(ISERR(SEARCH("UP",Tabela_SP5[[#This Row],[Umiej.prakt.]],1)),0,Tabela_SP5[[#This Row],[ects.razem]])</f>
        <v>0</v>
      </c>
      <c r="AP160" s="430">
        <f>IF(Tabela_SP5[[#This Row],[czy.ects]]="TAK",ROUND((SUM(Tabela_SP5[[#This Row],[godziny.konsultacja]],Tabela_SP5[[#This Row],[godziny.egzamin]],Tabela_SP5[[#This Row],[godziny.zajec.razem]])/25)/0.5,0)*0.5,0)</f>
        <v>0</v>
      </c>
      <c r="AQ160" s="431">
        <f>SUM(Tabela_SP5[[#This Row],[godziny.samoksztalcenie]],Tabela_SP5[[#This Row],[godziny.konsultacja]],Tabela_SP5[[#This Row],[godziny.egzamin]],Tabela_SP5[[#This Row],[godziny.zajec.razem]])</f>
        <v>0</v>
      </c>
      <c r="AR160" s="432">
        <f>INT(SUM(Tabela_SP5[[#This Row],[godziny.konsultacja]],Tabela_SP5[[#This Row],[godziny.egzamin]],Tabela_SP5[[#This Row],[godziny.zajec.razem]])*0.5+Tabela_SP5[[#This Row],[godziny.zajec.razem]]*(15-$G$191)/9)</f>
        <v>0</v>
      </c>
      <c r="AS160" s="433">
        <f>INT(Tabela_SP5[[#This Row],[godziny.zajec.razem]]*0.1)</f>
        <v>0</v>
      </c>
      <c r="AT160" s="409">
        <f>IF(Tabela_SP5[[#This Row],[godziny.zajec.razem]]&gt;0,IF(Tabela_SP5[[#This Row],[godziny.zajec.razem]]&gt;=45,4,2),0)</f>
        <v>0</v>
      </c>
      <c r="AU160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0" s="435">
        <f>IF(Tabela_SP5[[#This Row],[ects.bezposr.nauczyciel]],Tabela_SP5[[#This Row],[ects.bezposr.nauczyciel]]/Tabela_SP5[[#This Row],[ects.razem]],0)</f>
        <v>0</v>
      </c>
      <c r="AW160" s="207"/>
    </row>
    <row r="161" spans="1:49" ht="25.5" hidden="1" customHeight="1" x14ac:dyDescent="0.3">
      <c r="A161" s="207"/>
      <c r="B161" s="402"/>
      <c r="C161" s="403"/>
      <c r="D161" s="403"/>
      <c r="E161" s="362"/>
      <c r="F161" s="404"/>
      <c r="G161" s="405"/>
      <c r="H161" s="406"/>
      <c r="I161" s="407"/>
      <c r="J161" s="408"/>
      <c r="K161" s="409" t="str" cm="1">
        <f t="array" ref="K161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1" s="408"/>
      <c r="M161" s="410"/>
      <c r="N161" s="411" t="str" cm="1">
        <f t="array" ref="N161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1" s="410"/>
      <c r="P161" s="412"/>
      <c r="Q161" s="413" t="str" cm="1">
        <f t="array" ref="Q161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1" s="412"/>
      <c r="S161" s="414"/>
      <c r="T161" s="415" t="str" cm="1">
        <f t="array" ref="T161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1" s="414"/>
      <c r="V161" s="416"/>
      <c r="W161" s="417" t="str" cm="1">
        <f t="array" ref="W161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1" s="416"/>
      <c r="Y161" s="418"/>
      <c r="Z161" s="419" t="str" cm="1">
        <f t="array" ref="Z161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1" s="418"/>
      <c r="AB161" s="420"/>
      <c r="AC161" s="421" t="str" cm="1">
        <f t="array" ref="AC161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1" s="420"/>
      <c r="AE161" s="422"/>
      <c r="AF161" s="423" t="str" cm="1">
        <f t="array" ref="AF161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1" s="422"/>
      <c r="AH161" s="424"/>
      <c r="AI161" s="425" t="str" cm="1">
        <f t="array" ref="AI161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1" s="424"/>
      <c r="AK161" s="426"/>
      <c r="AL161" s="427" t="str" cm="1">
        <f t="array" ref="AL161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1" s="426"/>
      <c r="AN161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1" s="429">
        <f>IF(ISERR(SEARCH("UP",Tabela_SP5[[#This Row],[Umiej.prakt.]],1)),0,Tabela_SP5[[#This Row],[ects.razem]])</f>
        <v>0</v>
      </c>
      <c r="AP161" s="430">
        <f>IF(Tabela_SP5[[#This Row],[czy.ects]]="TAK",ROUND((SUM(Tabela_SP5[[#This Row],[godziny.konsultacja]],Tabela_SP5[[#This Row],[godziny.egzamin]],Tabela_SP5[[#This Row],[godziny.zajec.razem]])/25)/0.5,0)*0.5,0)</f>
        <v>0</v>
      </c>
      <c r="AQ161" s="431">
        <f>SUM(Tabela_SP5[[#This Row],[godziny.samoksztalcenie]],Tabela_SP5[[#This Row],[godziny.konsultacja]],Tabela_SP5[[#This Row],[godziny.egzamin]],Tabela_SP5[[#This Row],[godziny.zajec.razem]])</f>
        <v>0</v>
      </c>
      <c r="AR161" s="432">
        <f>INT(SUM(Tabela_SP5[[#This Row],[godziny.konsultacja]],Tabela_SP5[[#This Row],[godziny.egzamin]],Tabela_SP5[[#This Row],[godziny.zajec.razem]])*0.5+Tabela_SP5[[#This Row],[godziny.zajec.razem]]*(15-$G$191)/9)</f>
        <v>0</v>
      </c>
      <c r="AS161" s="433">
        <f>INT(Tabela_SP5[[#This Row],[godziny.zajec.razem]]*0.1)</f>
        <v>0</v>
      </c>
      <c r="AT161" s="409">
        <f>IF(Tabela_SP5[[#This Row],[godziny.zajec.razem]]&gt;0,IF(Tabela_SP5[[#This Row],[godziny.zajec.razem]]&gt;=45,4,2),0)</f>
        <v>0</v>
      </c>
      <c r="AU161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1" s="435">
        <f>IF(Tabela_SP5[[#This Row],[ects.bezposr.nauczyciel]],Tabela_SP5[[#This Row],[ects.bezposr.nauczyciel]]/Tabela_SP5[[#This Row],[ects.razem]],0)</f>
        <v>0</v>
      </c>
      <c r="AW161" s="207"/>
    </row>
    <row r="162" spans="1:49" ht="25.5" hidden="1" customHeight="1" x14ac:dyDescent="0.3">
      <c r="A162" s="207"/>
      <c r="B162" s="402"/>
      <c r="C162" s="403"/>
      <c r="D162" s="403"/>
      <c r="E162" s="362"/>
      <c r="F162" s="404"/>
      <c r="G162" s="405"/>
      <c r="H162" s="406"/>
      <c r="I162" s="407"/>
      <c r="J162" s="408"/>
      <c r="K162" s="409" t="str" cm="1">
        <f t="array" ref="K162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2" s="408"/>
      <c r="M162" s="410"/>
      <c r="N162" s="411" t="str" cm="1">
        <f t="array" ref="N162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2" s="410"/>
      <c r="P162" s="412"/>
      <c r="Q162" s="413" t="str" cm="1">
        <f t="array" ref="Q162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2" s="412"/>
      <c r="S162" s="414"/>
      <c r="T162" s="415" t="str" cm="1">
        <f t="array" ref="T162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2" s="414"/>
      <c r="V162" s="416"/>
      <c r="W162" s="417" t="str" cm="1">
        <f t="array" ref="W162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2" s="416"/>
      <c r="Y162" s="418"/>
      <c r="Z162" s="419" t="str" cm="1">
        <f t="array" ref="Z162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2" s="418"/>
      <c r="AB162" s="420"/>
      <c r="AC162" s="421" t="str" cm="1">
        <f t="array" ref="AC162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2" s="420"/>
      <c r="AE162" s="422"/>
      <c r="AF162" s="423" t="str" cm="1">
        <f t="array" ref="AF162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2" s="422"/>
      <c r="AH162" s="424"/>
      <c r="AI162" s="425" t="str" cm="1">
        <f t="array" ref="AI162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2" s="424"/>
      <c r="AK162" s="426"/>
      <c r="AL162" s="427" t="str" cm="1">
        <f t="array" ref="AL162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2" s="426"/>
      <c r="AN162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2" s="429">
        <f>IF(ISERR(SEARCH("UP",Tabela_SP5[[#This Row],[Umiej.prakt.]],1)),0,Tabela_SP5[[#This Row],[ects.razem]])</f>
        <v>0</v>
      </c>
      <c r="AP162" s="430">
        <f>IF(Tabela_SP5[[#This Row],[czy.ects]]="TAK",ROUND((SUM(Tabela_SP5[[#This Row],[godziny.konsultacja]],Tabela_SP5[[#This Row],[godziny.egzamin]],Tabela_SP5[[#This Row],[godziny.zajec.razem]])/25)/0.5,0)*0.5,0)</f>
        <v>0</v>
      </c>
      <c r="AQ162" s="431">
        <f>SUM(Tabela_SP5[[#This Row],[godziny.samoksztalcenie]],Tabela_SP5[[#This Row],[godziny.konsultacja]],Tabela_SP5[[#This Row],[godziny.egzamin]],Tabela_SP5[[#This Row],[godziny.zajec.razem]])</f>
        <v>0</v>
      </c>
      <c r="AR162" s="432">
        <f>INT(SUM(Tabela_SP5[[#This Row],[godziny.konsultacja]],Tabela_SP5[[#This Row],[godziny.egzamin]],Tabela_SP5[[#This Row],[godziny.zajec.razem]])*0.5+Tabela_SP5[[#This Row],[godziny.zajec.razem]]*(15-$G$191)/9)</f>
        <v>0</v>
      </c>
      <c r="AS162" s="433">
        <f>INT(Tabela_SP5[[#This Row],[godziny.zajec.razem]]*0.1)</f>
        <v>0</v>
      </c>
      <c r="AT162" s="409">
        <f>IF(Tabela_SP5[[#This Row],[godziny.zajec.razem]]&gt;0,IF(Tabela_SP5[[#This Row],[godziny.zajec.razem]]&gt;=45,4,2),0)</f>
        <v>0</v>
      </c>
      <c r="AU162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2" s="435">
        <f>IF(Tabela_SP5[[#This Row],[ects.bezposr.nauczyciel]],Tabela_SP5[[#This Row],[ects.bezposr.nauczyciel]]/Tabela_SP5[[#This Row],[ects.razem]],0)</f>
        <v>0</v>
      </c>
      <c r="AW162" s="207"/>
    </row>
    <row r="163" spans="1:49" ht="25.5" hidden="1" customHeight="1" x14ac:dyDescent="0.3">
      <c r="A163" s="207"/>
      <c r="B163" s="402"/>
      <c r="C163" s="403"/>
      <c r="D163" s="403"/>
      <c r="E163" s="362"/>
      <c r="F163" s="404"/>
      <c r="G163" s="405"/>
      <c r="H163" s="406"/>
      <c r="I163" s="407"/>
      <c r="J163" s="408"/>
      <c r="K163" s="409" t="str" cm="1">
        <f t="array" ref="K163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3" s="408"/>
      <c r="M163" s="410"/>
      <c r="N163" s="411" t="str" cm="1">
        <f t="array" ref="N163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3" s="410"/>
      <c r="P163" s="412"/>
      <c r="Q163" s="413" t="str" cm="1">
        <f t="array" ref="Q163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3" s="412"/>
      <c r="S163" s="414"/>
      <c r="T163" s="415" t="str" cm="1">
        <f t="array" ref="T163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3" s="414"/>
      <c r="V163" s="416"/>
      <c r="W163" s="417" t="str" cm="1">
        <f t="array" ref="W163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3" s="416"/>
      <c r="Y163" s="418"/>
      <c r="Z163" s="419" t="str" cm="1">
        <f t="array" ref="Z163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3" s="418"/>
      <c r="AB163" s="420"/>
      <c r="AC163" s="421" t="str" cm="1">
        <f t="array" ref="AC163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3" s="420"/>
      <c r="AE163" s="422"/>
      <c r="AF163" s="423" t="str" cm="1">
        <f t="array" ref="AF163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3" s="422"/>
      <c r="AH163" s="424"/>
      <c r="AI163" s="425" t="str" cm="1">
        <f t="array" ref="AI163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3" s="424"/>
      <c r="AK163" s="426"/>
      <c r="AL163" s="427" t="str" cm="1">
        <f t="array" ref="AL163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3" s="426"/>
      <c r="AN163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3" s="429">
        <f>IF(ISERR(SEARCH("UP",Tabela_SP5[[#This Row],[Umiej.prakt.]],1)),0,Tabela_SP5[[#This Row],[ects.razem]])</f>
        <v>0</v>
      </c>
      <c r="AP163" s="430">
        <f>IF(Tabela_SP5[[#This Row],[czy.ects]]="TAK",ROUND((SUM(Tabela_SP5[[#This Row],[godziny.konsultacja]],Tabela_SP5[[#This Row],[godziny.egzamin]],Tabela_SP5[[#This Row],[godziny.zajec.razem]])/25)/0.5,0)*0.5,0)</f>
        <v>0</v>
      </c>
      <c r="AQ163" s="431">
        <f>SUM(Tabela_SP5[[#This Row],[godziny.samoksztalcenie]],Tabela_SP5[[#This Row],[godziny.konsultacja]],Tabela_SP5[[#This Row],[godziny.egzamin]],Tabela_SP5[[#This Row],[godziny.zajec.razem]])</f>
        <v>0</v>
      </c>
      <c r="AR163" s="432">
        <f>INT(SUM(Tabela_SP5[[#This Row],[godziny.konsultacja]],Tabela_SP5[[#This Row],[godziny.egzamin]],Tabela_SP5[[#This Row],[godziny.zajec.razem]])*0.5+Tabela_SP5[[#This Row],[godziny.zajec.razem]]*(15-$G$191)/9)</f>
        <v>0</v>
      </c>
      <c r="AS163" s="433">
        <f>INT(Tabela_SP5[[#This Row],[godziny.zajec.razem]]*0.1)</f>
        <v>0</v>
      </c>
      <c r="AT163" s="409">
        <f>IF(Tabela_SP5[[#This Row],[godziny.zajec.razem]]&gt;0,IF(Tabela_SP5[[#This Row],[godziny.zajec.razem]]&gt;=45,4,2),0)</f>
        <v>0</v>
      </c>
      <c r="AU163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3" s="435">
        <f>IF(Tabela_SP5[[#This Row],[ects.bezposr.nauczyciel]],Tabela_SP5[[#This Row],[ects.bezposr.nauczyciel]]/Tabela_SP5[[#This Row],[ects.razem]],0)</f>
        <v>0</v>
      </c>
      <c r="AW163" s="207"/>
    </row>
    <row r="164" spans="1:49" ht="25.5" hidden="1" customHeight="1" x14ac:dyDescent="0.3">
      <c r="A164" s="207"/>
      <c r="B164" s="402"/>
      <c r="C164" s="403"/>
      <c r="D164" s="403"/>
      <c r="E164" s="362"/>
      <c r="F164" s="404"/>
      <c r="G164" s="405"/>
      <c r="H164" s="406"/>
      <c r="I164" s="407"/>
      <c r="J164" s="408"/>
      <c r="K164" s="409" t="str" cm="1">
        <f t="array" ref="K164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4" s="408"/>
      <c r="M164" s="410"/>
      <c r="N164" s="411" t="str" cm="1">
        <f t="array" ref="N164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4" s="410"/>
      <c r="P164" s="412"/>
      <c r="Q164" s="413" t="str" cm="1">
        <f t="array" ref="Q164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4" s="412"/>
      <c r="S164" s="414"/>
      <c r="T164" s="415" t="str" cm="1">
        <f t="array" ref="T164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4" s="414"/>
      <c r="V164" s="416"/>
      <c r="W164" s="417" t="str" cm="1">
        <f t="array" ref="W164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4" s="416"/>
      <c r="Y164" s="418"/>
      <c r="Z164" s="419" t="str" cm="1">
        <f t="array" ref="Z164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4" s="418"/>
      <c r="AB164" s="420"/>
      <c r="AC164" s="421" t="str" cm="1">
        <f t="array" ref="AC164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4" s="420"/>
      <c r="AE164" s="422"/>
      <c r="AF164" s="423" t="str" cm="1">
        <f t="array" ref="AF164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4" s="422"/>
      <c r="AH164" s="424"/>
      <c r="AI164" s="425" t="str" cm="1">
        <f t="array" ref="AI164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4" s="424"/>
      <c r="AK164" s="426"/>
      <c r="AL164" s="427" t="str" cm="1">
        <f t="array" ref="AL164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4" s="426"/>
      <c r="AN164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4" s="429">
        <f>IF(ISERR(SEARCH("UP",Tabela_SP5[[#This Row],[Umiej.prakt.]],1)),0,Tabela_SP5[[#This Row],[ects.razem]])</f>
        <v>0</v>
      </c>
      <c r="AP164" s="430">
        <f>IF(Tabela_SP5[[#This Row],[czy.ects]]="TAK",ROUND((SUM(Tabela_SP5[[#This Row],[godziny.konsultacja]],Tabela_SP5[[#This Row],[godziny.egzamin]],Tabela_SP5[[#This Row],[godziny.zajec.razem]])/25)/0.5,0)*0.5,0)</f>
        <v>0</v>
      </c>
      <c r="AQ164" s="431">
        <f>SUM(Tabela_SP5[[#This Row],[godziny.samoksztalcenie]],Tabela_SP5[[#This Row],[godziny.konsultacja]],Tabela_SP5[[#This Row],[godziny.egzamin]],Tabela_SP5[[#This Row],[godziny.zajec.razem]])</f>
        <v>0</v>
      </c>
      <c r="AR164" s="432">
        <f>INT(SUM(Tabela_SP5[[#This Row],[godziny.konsultacja]],Tabela_SP5[[#This Row],[godziny.egzamin]],Tabela_SP5[[#This Row],[godziny.zajec.razem]])*0.5+Tabela_SP5[[#This Row],[godziny.zajec.razem]]*(15-$G$191)/9)</f>
        <v>0</v>
      </c>
      <c r="AS164" s="433">
        <f>INT(Tabela_SP5[[#This Row],[godziny.zajec.razem]]*0.1)</f>
        <v>0</v>
      </c>
      <c r="AT164" s="409">
        <f>IF(Tabela_SP5[[#This Row],[godziny.zajec.razem]]&gt;0,IF(Tabela_SP5[[#This Row],[godziny.zajec.razem]]&gt;=45,4,2),0)</f>
        <v>0</v>
      </c>
      <c r="AU164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4" s="435">
        <f>IF(Tabela_SP5[[#This Row],[ects.bezposr.nauczyciel]],Tabela_SP5[[#This Row],[ects.bezposr.nauczyciel]]/Tabela_SP5[[#This Row],[ects.razem]],0)</f>
        <v>0</v>
      </c>
      <c r="AW164" s="207"/>
    </row>
    <row r="165" spans="1:49" ht="25.5" hidden="1" customHeight="1" x14ac:dyDescent="0.3">
      <c r="A165" s="207"/>
      <c r="B165" s="402"/>
      <c r="C165" s="403"/>
      <c r="D165" s="403"/>
      <c r="E165" s="362"/>
      <c r="F165" s="404"/>
      <c r="G165" s="405"/>
      <c r="H165" s="406"/>
      <c r="I165" s="407"/>
      <c r="J165" s="408"/>
      <c r="K165" s="409" t="str" cm="1">
        <f t="array" ref="K165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5" s="408"/>
      <c r="M165" s="410"/>
      <c r="N165" s="411" t="str" cm="1">
        <f t="array" ref="N165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5" s="410"/>
      <c r="P165" s="412"/>
      <c r="Q165" s="413" t="str" cm="1">
        <f t="array" ref="Q165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5" s="412"/>
      <c r="S165" s="414"/>
      <c r="T165" s="415" t="str" cm="1">
        <f t="array" ref="T165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5" s="414"/>
      <c r="V165" s="416"/>
      <c r="W165" s="417" t="str" cm="1">
        <f t="array" ref="W165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5" s="416"/>
      <c r="Y165" s="418"/>
      <c r="Z165" s="419" t="str" cm="1">
        <f t="array" ref="Z165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5" s="418"/>
      <c r="AB165" s="420"/>
      <c r="AC165" s="421" t="str" cm="1">
        <f t="array" ref="AC165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5" s="420"/>
      <c r="AE165" s="422"/>
      <c r="AF165" s="423" t="str" cm="1">
        <f t="array" ref="AF165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5" s="422"/>
      <c r="AH165" s="424"/>
      <c r="AI165" s="425" t="str" cm="1">
        <f t="array" ref="AI165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5" s="424"/>
      <c r="AK165" s="426"/>
      <c r="AL165" s="427" t="str" cm="1">
        <f t="array" ref="AL165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5" s="426"/>
      <c r="AN165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5" s="429">
        <f>IF(ISERR(SEARCH("UP",Tabela_SP5[[#This Row],[Umiej.prakt.]],1)),0,Tabela_SP5[[#This Row],[ects.razem]])</f>
        <v>0</v>
      </c>
      <c r="AP165" s="430">
        <f>IF(Tabela_SP5[[#This Row],[czy.ects]]="TAK",ROUND((SUM(Tabela_SP5[[#This Row],[godziny.konsultacja]],Tabela_SP5[[#This Row],[godziny.egzamin]],Tabela_SP5[[#This Row],[godziny.zajec.razem]])/25)/0.5,0)*0.5,0)</f>
        <v>0</v>
      </c>
      <c r="AQ165" s="431">
        <f>SUM(Tabela_SP5[[#This Row],[godziny.samoksztalcenie]],Tabela_SP5[[#This Row],[godziny.konsultacja]],Tabela_SP5[[#This Row],[godziny.egzamin]],Tabela_SP5[[#This Row],[godziny.zajec.razem]])</f>
        <v>0</v>
      </c>
      <c r="AR165" s="432">
        <f>INT(SUM(Tabela_SP5[[#This Row],[godziny.konsultacja]],Tabela_SP5[[#This Row],[godziny.egzamin]],Tabela_SP5[[#This Row],[godziny.zajec.razem]])*0.5+Tabela_SP5[[#This Row],[godziny.zajec.razem]]*(15-$G$191)/9)</f>
        <v>0</v>
      </c>
      <c r="AS165" s="433">
        <f>INT(Tabela_SP5[[#This Row],[godziny.zajec.razem]]*0.1)</f>
        <v>0</v>
      </c>
      <c r="AT165" s="409">
        <f>IF(Tabela_SP5[[#This Row],[godziny.zajec.razem]]&gt;0,IF(Tabela_SP5[[#This Row],[godziny.zajec.razem]]&gt;=45,4,2),0)</f>
        <v>0</v>
      </c>
      <c r="AU165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5" s="435">
        <f>IF(Tabela_SP5[[#This Row],[ects.bezposr.nauczyciel]],Tabela_SP5[[#This Row],[ects.bezposr.nauczyciel]]/Tabela_SP5[[#This Row],[ects.razem]],0)</f>
        <v>0</v>
      </c>
      <c r="AW165" s="207"/>
    </row>
    <row r="166" spans="1:49" ht="25.5" hidden="1" customHeight="1" x14ac:dyDescent="0.3">
      <c r="A166" s="207"/>
      <c r="B166" s="402"/>
      <c r="C166" s="403"/>
      <c r="D166" s="403"/>
      <c r="E166" s="362"/>
      <c r="F166" s="404"/>
      <c r="G166" s="405"/>
      <c r="H166" s="406"/>
      <c r="I166" s="407"/>
      <c r="J166" s="408"/>
      <c r="K166" s="409" t="str" cm="1">
        <f t="array" ref="K166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6" s="408"/>
      <c r="M166" s="410"/>
      <c r="N166" s="411" t="str" cm="1">
        <f t="array" ref="N166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6" s="410"/>
      <c r="P166" s="412"/>
      <c r="Q166" s="413" t="str" cm="1">
        <f t="array" ref="Q166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6" s="412"/>
      <c r="S166" s="414"/>
      <c r="T166" s="415" t="str" cm="1">
        <f t="array" ref="T166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6" s="414"/>
      <c r="V166" s="416"/>
      <c r="W166" s="417" t="str" cm="1">
        <f t="array" ref="W166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6" s="416"/>
      <c r="Y166" s="418"/>
      <c r="Z166" s="419" t="str" cm="1">
        <f t="array" ref="Z166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6" s="418"/>
      <c r="AB166" s="420"/>
      <c r="AC166" s="421" t="str" cm="1">
        <f t="array" ref="AC166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6" s="420"/>
      <c r="AE166" s="422"/>
      <c r="AF166" s="423" t="str" cm="1">
        <f t="array" ref="AF166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6" s="422"/>
      <c r="AH166" s="424"/>
      <c r="AI166" s="425" t="str" cm="1">
        <f t="array" ref="AI166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6" s="424"/>
      <c r="AK166" s="426"/>
      <c r="AL166" s="427" t="str" cm="1">
        <f t="array" ref="AL166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6" s="426"/>
      <c r="AN166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6" s="429">
        <f>IF(ISERR(SEARCH("UP",Tabela_SP5[[#This Row],[Umiej.prakt.]],1)),0,Tabela_SP5[[#This Row],[ects.razem]])</f>
        <v>0</v>
      </c>
      <c r="AP166" s="430">
        <f>IF(Tabela_SP5[[#This Row],[czy.ects]]="TAK",ROUND((SUM(Tabela_SP5[[#This Row],[godziny.konsultacja]],Tabela_SP5[[#This Row],[godziny.egzamin]],Tabela_SP5[[#This Row],[godziny.zajec.razem]])/25)/0.5,0)*0.5,0)</f>
        <v>0</v>
      </c>
      <c r="AQ166" s="431">
        <f>SUM(Tabela_SP5[[#This Row],[godziny.samoksztalcenie]],Tabela_SP5[[#This Row],[godziny.konsultacja]],Tabela_SP5[[#This Row],[godziny.egzamin]],Tabela_SP5[[#This Row],[godziny.zajec.razem]])</f>
        <v>0</v>
      </c>
      <c r="AR166" s="432">
        <f>INT(SUM(Tabela_SP5[[#This Row],[godziny.konsultacja]],Tabela_SP5[[#This Row],[godziny.egzamin]],Tabela_SP5[[#This Row],[godziny.zajec.razem]])*0.5+Tabela_SP5[[#This Row],[godziny.zajec.razem]]*(15-$G$191)/9)</f>
        <v>0</v>
      </c>
      <c r="AS166" s="433">
        <f>INT(Tabela_SP5[[#This Row],[godziny.zajec.razem]]*0.1)</f>
        <v>0</v>
      </c>
      <c r="AT166" s="409">
        <f>IF(Tabela_SP5[[#This Row],[godziny.zajec.razem]]&gt;0,IF(Tabela_SP5[[#This Row],[godziny.zajec.razem]]&gt;=45,4,2),0)</f>
        <v>0</v>
      </c>
      <c r="AU166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6" s="435">
        <f>IF(Tabela_SP5[[#This Row],[ects.bezposr.nauczyciel]],Tabela_SP5[[#This Row],[ects.bezposr.nauczyciel]]/Tabela_SP5[[#This Row],[ects.razem]],0)</f>
        <v>0</v>
      </c>
      <c r="AW166" s="207"/>
    </row>
    <row r="167" spans="1:49" ht="25.5" hidden="1" customHeight="1" x14ac:dyDescent="0.3">
      <c r="A167" s="207"/>
      <c r="B167" s="402"/>
      <c r="C167" s="403"/>
      <c r="D167" s="403"/>
      <c r="E167" s="362"/>
      <c r="F167" s="404"/>
      <c r="G167" s="405"/>
      <c r="H167" s="406"/>
      <c r="I167" s="407"/>
      <c r="J167" s="408"/>
      <c r="K167" s="409" t="str" cm="1">
        <f t="array" ref="K167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7" s="408"/>
      <c r="M167" s="410"/>
      <c r="N167" s="411" t="str" cm="1">
        <f t="array" ref="N167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7" s="410"/>
      <c r="P167" s="412"/>
      <c r="Q167" s="413" t="str" cm="1">
        <f t="array" ref="Q167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7" s="412"/>
      <c r="S167" s="414"/>
      <c r="T167" s="415" t="str" cm="1">
        <f t="array" ref="T167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7" s="414"/>
      <c r="V167" s="416"/>
      <c r="W167" s="417" t="str" cm="1">
        <f t="array" ref="W167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7" s="416"/>
      <c r="Y167" s="418"/>
      <c r="Z167" s="419" t="str" cm="1">
        <f t="array" ref="Z167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7" s="418"/>
      <c r="AB167" s="420"/>
      <c r="AC167" s="421" t="str" cm="1">
        <f t="array" ref="AC167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7" s="420"/>
      <c r="AE167" s="422"/>
      <c r="AF167" s="423" t="str" cm="1">
        <f t="array" ref="AF167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7" s="422"/>
      <c r="AH167" s="424"/>
      <c r="AI167" s="425" t="str" cm="1">
        <f t="array" ref="AI167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7" s="424"/>
      <c r="AK167" s="426"/>
      <c r="AL167" s="427" t="str" cm="1">
        <f t="array" ref="AL167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7" s="426"/>
      <c r="AN167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7" s="429">
        <f>IF(ISERR(SEARCH("UP",Tabela_SP5[[#This Row],[Umiej.prakt.]],1)),0,Tabela_SP5[[#This Row],[ects.razem]])</f>
        <v>0</v>
      </c>
      <c r="AP167" s="430">
        <f>IF(Tabela_SP5[[#This Row],[czy.ects]]="TAK",ROUND((SUM(Tabela_SP5[[#This Row],[godziny.konsultacja]],Tabela_SP5[[#This Row],[godziny.egzamin]],Tabela_SP5[[#This Row],[godziny.zajec.razem]])/25)/0.5,0)*0.5,0)</f>
        <v>0</v>
      </c>
      <c r="AQ167" s="431">
        <f>SUM(Tabela_SP5[[#This Row],[godziny.samoksztalcenie]],Tabela_SP5[[#This Row],[godziny.konsultacja]],Tabela_SP5[[#This Row],[godziny.egzamin]],Tabela_SP5[[#This Row],[godziny.zajec.razem]])</f>
        <v>0</v>
      </c>
      <c r="AR167" s="432">
        <f>INT(SUM(Tabela_SP5[[#This Row],[godziny.konsultacja]],Tabela_SP5[[#This Row],[godziny.egzamin]],Tabela_SP5[[#This Row],[godziny.zajec.razem]])*0.5+Tabela_SP5[[#This Row],[godziny.zajec.razem]]*(15-$G$191)/9)</f>
        <v>0</v>
      </c>
      <c r="AS167" s="433">
        <f>INT(Tabela_SP5[[#This Row],[godziny.zajec.razem]]*0.1)</f>
        <v>0</v>
      </c>
      <c r="AT167" s="409">
        <f>IF(Tabela_SP5[[#This Row],[godziny.zajec.razem]]&gt;0,IF(Tabela_SP5[[#This Row],[godziny.zajec.razem]]&gt;=45,4,2),0)</f>
        <v>0</v>
      </c>
      <c r="AU167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7" s="435">
        <f>IF(Tabela_SP5[[#This Row],[ects.bezposr.nauczyciel]],Tabela_SP5[[#This Row],[ects.bezposr.nauczyciel]]/Tabela_SP5[[#This Row],[ects.razem]],0)</f>
        <v>0</v>
      </c>
      <c r="AW167" s="207"/>
    </row>
    <row r="168" spans="1:49" ht="25.5" hidden="1" customHeight="1" x14ac:dyDescent="0.3">
      <c r="A168" s="207"/>
      <c r="B168" s="402"/>
      <c r="C168" s="403"/>
      <c r="D168" s="403"/>
      <c r="E168" s="362"/>
      <c r="F168" s="404"/>
      <c r="G168" s="405"/>
      <c r="H168" s="406"/>
      <c r="I168" s="407"/>
      <c r="J168" s="408"/>
      <c r="K168" s="409" t="str" cm="1">
        <f t="array" ref="K168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8" s="408"/>
      <c r="M168" s="410"/>
      <c r="N168" s="411" t="str" cm="1">
        <f t="array" ref="N168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8" s="410"/>
      <c r="P168" s="412"/>
      <c r="Q168" s="413" t="str" cm="1">
        <f t="array" ref="Q168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8" s="412"/>
      <c r="S168" s="414"/>
      <c r="T168" s="415" t="str" cm="1">
        <f t="array" ref="T168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8" s="414"/>
      <c r="V168" s="416"/>
      <c r="W168" s="417" t="str" cm="1">
        <f t="array" ref="W168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8" s="416"/>
      <c r="Y168" s="418"/>
      <c r="Z168" s="419" t="str" cm="1">
        <f t="array" ref="Z168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8" s="418"/>
      <c r="AB168" s="420"/>
      <c r="AC168" s="421" t="str" cm="1">
        <f t="array" ref="AC168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8" s="420"/>
      <c r="AE168" s="422"/>
      <c r="AF168" s="423" t="str" cm="1">
        <f t="array" ref="AF168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8" s="422"/>
      <c r="AH168" s="424"/>
      <c r="AI168" s="425" t="str" cm="1">
        <f t="array" ref="AI168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8" s="424"/>
      <c r="AK168" s="426"/>
      <c r="AL168" s="427" t="str" cm="1">
        <f t="array" ref="AL168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8" s="426"/>
      <c r="AN168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8" s="429">
        <f>IF(ISERR(SEARCH("UP",Tabela_SP5[[#This Row],[Umiej.prakt.]],1)),0,Tabela_SP5[[#This Row],[ects.razem]])</f>
        <v>0</v>
      </c>
      <c r="AP168" s="430">
        <f>IF(Tabela_SP5[[#This Row],[czy.ects]]="TAK",ROUND((SUM(Tabela_SP5[[#This Row],[godziny.konsultacja]],Tabela_SP5[[#This Row],[godziny.egzamin]],Tabela_SP5[[#This Row],[godziny.zajec.razem]])/25)/0.5,0)*0.5,0)</f>
        <v>0</v>
      </c>
      <c r="AQ168" s="431">
        <f>SUM(Tabela_SP5[[#This Row],[godziny.samoksztalcenie]],Tabela_SP5[[#This Row],[godziny.konsultacja]],Tabela_SP5[[#This Row],[godziny.egzamin]],Tabela_SP5[[#This Row],[godziny.zajec.razem]])</f>
        <v>0</v>
      </c>
      <c r="AR168" s="432">
        <f>INT(SUM(Tabela_SP5[[#This Row],[godziny.konsultacja]],Tabela_SP5[[#This Row],[godziny.egzamin]],Tabela_SP5[[#This Row],[godziny.zajec.razem]])*0.5+Tabela_SP5[[#This Row],[godziny.zajec.razem]]*(15-$G$191)/9)</f>
        <v>0</v>
      </c>
      <c r="AS168" s="433">
        <f>INT(Tabela_SP5[[#This Row],[godziny.zajec.razem]]*0.1)</f>
        <v>0</v>
      </c>
      <c r="AT168" s="409">
        <f>IF(Tabela_SP5[[#This Row],[godziny.zajec.razem]]&gt;0,IF(Tabela_SP5[[#This Row],[godziny.zajec.razem]]&gt;=45,4,2),0)</f>
        <v>0</v>
      </c>
      <c r="AU168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8" s="435">
        <f>IF(Tabela_SP5[[#This Row],[ects.bezposr.nauczyciel]],Tabela_SP5[[#This Row],[ects.bezposr.nauczyciel]]/Tabela_SP5[[#This Row],[ects.razem]],0)</f>
        <v>0</v>
      </c>
      <c r="AW168" s="207"/>
    </row>
    <row r="169" spans="1:49" ht="25.5" hidden="1" customHeight="1" x14ac:dyDescent="0.3">
      <c r="A169" s="207"/>
      <c r="B169" s="402"/>
      <c r="C169" s="403"/>
      <c r="D169" s="403"/>
      <c r="E169" s="362"/>
      <c r="F169" s="404"/>
      <c r="G169" s="405"/>
      <c r="H169" s="406"/>
      <c r="I169" s="407"/>
      <c r="J169" s="408"/>
      <c r="K169" s="409" t="str" cm="1">
        <f t="array" ref="K169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69" s="408"/>
      <c r="M169" s="410"/>
      <c r="N169" s="411" t="str" cm="1">
        <f t="array" ref="N169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69" s="410"/>
      <c r="P169" s="412"/>
      <c r="Q169" s="413" t="str" cm="1">
        <f t="array" ref="Q169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69" s="412"/>
      <c r="S169" s="414"/>
      <c r="T169" s="415" t="str" cm="1">
        <f t="array" ref="T169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69" s="414"/>
      <c r="V169" s="416"/>
      <c r="W169" s="417" t="str" cm="1">
        <f t="array" ref="W169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69" s="416"/>
      <c r="Y169" s="418"/>
      <c r="Z169" s="419" t="str" cm="1">
        <f t="array" ref="Z169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69" s="418"/>
      <c r="AB169" s="420"/>
      <c r="AC169" s="421" t="str" cm="1">
        <f t="array" ref="AC169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69" s="420"/>
      <c r="AE169" s="422"/>
      <c r="AF169" s="423" t="str" cm="1">
        <f t="array" ref="AF169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69" s="422"/>
      <c r="AH169" s="424"/>
      <c r="AI169" s="425" t="str" cm="1">
        <f t="array" ref="AI169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69" s="424"/>
      <c r="AK169" s="426"/>
      <c r="AL169" s="427" t="str" cm="1">
        <f t="array" ref="AL169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69" s="426"/>
      <c r="AN169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69" s="429">
        <f>IF(ISERR(SEARCH("UP",Tabela_SP5[[#This Row],[Umiej.prakt.]],1)),0,Tabela_SP5[[#This Row],[ects.razem]])</f>
        <v>0</v>
      </c>
      <c r="AP169" s="430">
        <f>IF(Tabela_SP5[[#This Row],[czy.ects]]="TAK",ROUND((SUM(Tabela_SP5[[#This Row],[godziny.konsultacja]],Tabela_SP5[[#This Row],[godziny.egzamin]],Tabela_SP5[[#This Row],[godziny.zajec.razem]])/25)/0.5,0)*0.5,0)</f>
        <v>0</v>
      </c>
      <c r="AQ169" s="431">
        <f>SUM(Tabela_SP5[[#This Row],[godziny.samoksztalcenie]],Tabela_SP5[[#This Row],[godziny.konsultacja]],Tabela_SP5[[#This Row],[godziny.egzamin]],Tabela_SP5[[#This Row],[godziny.zajec.razem]])</f>
        <v>0</v>
      </c>
      <c r="AR169" s="432">
        <f>INT(SUM(Tabela_SP5[[#This Row],[godziny.konsultacja]],Tabela_SP5[[#This Row],[godziny.egzamin]],Tabela_SP5[[#This Row],[godziny.zajec.razem]])*0.5+Tabela_SP5[[#This Row],[godziny.zajec.razem]]*(15-$G$191)/9)</f>
        <v>0</v>
      </c>
      <c r="AS169" s="433">
        <f>INT(Tabela_SP5[[#This Row],[godziny.zajec.razem]]*0.1)</f>
        <v>0</v>
      </c>
      <c r="AT169" s="409">
        <f>IF(Tabela_SP5[[#This Row],[godziny.zajec.razem]]&gt;0,IF(Tabela_SP5[[#This Row],[godziny.zajec.razem]]&gt;=45,4,2),0)</f>
        <v>0</v>
      </c>
      <c r="AU169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69" s="435">
        <f>IF(Tabela_SP5[[#This Row],[ects.bezposr.nauczyciel]],Tabela_SP5[[#This Row],[ects.bezposr.nauczyciel]]/Tabela_SP5[[#This Row],[ects.razem]],0)</f>
        <v>0</v>
      </c>
      <c r="AW169" s="207"/>
    </row>
    <row r="170" spans="1:49" ht="25.5" hidden="1" customHeight="1" x14ac:dyDescent="0.3">
      <c r="A170" s="207"/>
      <c r="B170" s="402"/>
      <c r="C170" s="403"/>
      <c r="D170" s="403"/>
      <c r="E170" s="362"/>
      <c r="F170" s="404"/>
      <c r="G170" s="405"/>
      <c r="H170" s="406"/>
      <c r="I170" s="407"/>
      <c r="J170" s="408"/>
      <c r="K170" s="409" t="str" cm="1">
        <f t="array" ref="K170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70" s="408"/>
      <c r="M170" s="410"/>
      <c r="N170" s="411" t="str" cm="1">
        <f t="array" ref="N170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70" s="410"/>
      <c r="P170" s="412"/>
      <c r="Q170" s="413" t="str" cm="1">
        <f t="array" ref="Q170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70" s="412"/>
      <c r="S170" s="414"/>
      <c r="T170" s="415" t="str" cm="1">
        <f t="array" ref="T170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70" s="414"/>
      <c r="V170" s="416"/>
      <c r="W170" s="417" t="str" cm="1">
        <f t="array" ref="W170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70" s="416"/>
      <c r="Y170" s="418"/>
      <c r="Z170" s="419" t="str" cm="1">
        <f t="array" ref="Z170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70" s="418"/>
      <c r="AB170" s="420"/>
      <c r="AC170" s="421" t="str" cm="1">
        <f t="array" ref="AC170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70" s="420"/>
      <c r="AE170" s="422"/>
      <c r="AF170" s="423" t="str" cm="1">
        <f t="array" ref="AF170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70" s="422"/>
      <c r="AH170" s="424"/>
      <c r="AI170" s="425" t="str" cm="1">
        <f t="array" ref="AI170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70" s="424"/>
      <c r="AK170" s="426"/>
      <c r="AL170" s="427" t="str" cm="1">
        <f t="array" ref="AL170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70" s="426"/>
      <c r="AN170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70" s="429">
        <f>IF(ISERR(SEARCH("UP",Tabela_SP5[[#This Row],[Umiej.prakt.]],1)),0,Tabela_SP5[[#This Row],[ects.razem]])</f>
        <v>0</v>
      </c>
      <c r="AP170" s="430">
        <f>IF(Tabela_SP5[[#This Row],[czy.ects]]="TAK",ROUND((SUM(Tabela_SP5[[#This Row],[godziny.konsultacja]],Tabela_SP5[[#This Row],[godziny.egzamin]],Tabela_SP5[[#This Row],[godziny.zajec.razem]])/25)/0.5,0)*0.5,0)</f>
        <v>0</v>
      </c>
      <c r="AQ170" s="431">
        <f>SUM(Tabela_SP5[[#This Row],[godziny.samoksztalcenie]],Tabela_SP5[[#This Row],[godziny.konsultacja]],Tabela_SP5[[#This Row],[godziny.egzamin]],Tabela_SP5[[#This Row],[godziny.zajec.razem]])</f>
        <v>0</v>
      </c>
      <c r="AR170" s="432">
        <f>INT(SUM(Tabela_SP5[[#This Row],[godziny.konsultacja]],Tabela_SP5[[#This Row],[godziny.egzamin]],Tabela_SP5[[#This Row],[godziny.zajec.razem]])*0.5+Tabela_SP5[[#This Row],[godziny.zajec.razem]]*(15-$G$191)/9)</f>
        <v>0</v>
      </c>
      <c r="AS170" s="433">
        <f>INT(Tabela_SP5[[#This Row],[godziny.zajec.razem]]*0.1)</f>
        <v>0</v>
      </c>
      <c r="AT170" s="409">
        <f>IF(Tabela_SP5[[#This Row],[godziny.zajec.razem]]&gt;0,IF(Tabela_SP5[[#This Row],[godziny.zajec.razem]]&gt;=45,4,2),0)</f>
        <v>0</v>
      </c>
      <c r="AU170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70" s="435">
        <f>IF(Tabela_SP5[[#This Row],[ects.bezposr.nauczyciel]],Tabela_SP5[[#This Row],[ects.bezposr.nauczyciel]]/Tabela_SP5[[#This Row],[ects.razem]],0)</f>
        <v>0</v>
      </c>
      <c r="AW170" s="207"/>
    </row>
    <row r="171" spans="1:49" ht="25.5" hidden="1" customHeight="1" x14ac:dyDescent="0.3">
      <c r="A171" s="207"/>
      <c r="B171" s="402"/>
      <c r="C171" s="403"/>
      <c r="D171" s="403"/>
      <c r="E171" s="362"/>
      <c r="F171" s="404"/>
      <c r="G171" s="405"/>
      <c r="H171" s="406"/>
      <c r="I171" s="407"/>
      <c r="J171" s="408"/>
      <c r="K171" s="409" t="str" cm="1">
        <f t="array" ref="K171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71" s="408"/>
      <c r="M171" s="410"/>
      <c r="N171" s="411" t="str" cm="1">
        <f t="array" ref="N171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71" s="410"/>
      <c r="P171" s="412"/>
      <c r="Q171" s="413" t="str" cm="1">
        <f t="array" ref="Q171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71" s="412"/>
      <c r="S171" s="414"/>
      <c r="T171" s="415" t="str" cm="1">
        <f t="array" ref="T171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71" s="414"/>
      <c r="V171" s="416"/>
      <c r="W171" s="417" t="str" cm="1">
        <f t="array" ref="W171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71" s="416"/>
      <c r="Y171" s="418"/>
      <c r="Z171" s="419" t="str" cm="1">
        <f t="array" ref="Z171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71" s="418"/>
      <c r="AB171" s="420"/>
      <c r="AC171" s="421" t="str" cm="1">
        <f t="array" ref="AC171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71" s="420"/>
      <c r="AE171" s="422"/>
      <c r="AF171" s="423" t="str" cm="1">
        <f t="array" ref="AF171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71" s="422"/>
      <c r="AH171" s="424"/>
      <c r="AI171" s="425" t="str" cm="1">
        <f t="array" ref="AI171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71" s="424"/>
      <c r="AK171" s="426"/>
      <c r="AL171" s="427" t="str" cm="1">
        <f t="array" ref="AL171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71" s="426"/>
      <c r="AN171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71" s="429">
        <f>IF(ISERR(SEARCH("UP",Tabela_SP5[[#This Row],[Umiej.prakt.]],1)),0,Tabela_SP5[[#This Row],[ects.razem]])</f>
        <v>0</v>
      </c>
      <c r="AP171" s="430">
        <f>IF(Tabela_SP5[[#This Row],[czy.ects]]="TAK",ROUND((SUM(Tabela_SP5[[#This Row],[godziny.konsultacja]],Tabela_SP5[[#This Row],[godziny.egzamin]],Tabela_SP5[[#This Row],[godziny.zajec.razem]])/25)/0.5,0)*0.5,0)</f>
        <v>0</v>
      </c>
      <c r="AQ171" s="431">
        <f>SUM(Tabela_SP5[[#This Row],[godziny.samoksztalcenie]],Tabela_SP5[[#This Row],[godziny.konsultacja]],Tabela_SP5[[#This Row],[godziny.egzamin]],Tabela_SP5[[#This Row],[godziny.zajec.razem]])</f>
        <v>0</v>
      </c>
      <c r="AR171" s="432">
        <f>INT(SUM(Tabela_SP5[[#This Row],[godziny.konsultacja]],Tabela_SP5[[#This Row],[godziny.egzamin]],Tabela_SP5[[#This Row],[godziny.zajec.razem]])*0.5+Tabela_SP5[[#This Row],[godziny.zajec.razem]]*(15-$G$191)/9)</f>
        <v>0</v>
      </c>
      <c r="AS171" s="433">
        <f>INT(Tabela_SP5[[#This Row],[godziny.zajec.razem]]*0.1)</f>
        <v>0</v>
      </c>
      <c r="AT171" s="409">
        <f>IF(Tabela_SP5[[#This Row],[godziny.zajec.razem]]&gt;0,IF(Tabela_SP5[[#This Row],[godziny.zajec.razem]]&gt;=45,4,2),0)</f>
        <v>0</v>
      </c>
      <c r="AU171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71" s="435">
        <f>IF(Tabela_SP5[[#This Row],[ects.bezposr.nauczyciel]],Tabela_SP5[[#This Row],[ects.bezposr.nauczyciel]]/Tabela_SP5[[#This Row],[ects.razem]],0)</f>
        <v>0</v>
      </c>
      <c r="AW171" s="207"/>
    </row>
    <row r="172" spans="1:49" ht="25.5" hidden="1" customHeight="1" x14ac:dyDescent="0.3">
      <c r="A172" s="207"/>
      <c r="B172" s="402"/>
      <c r="C172" s="403"/>
      <c r="D172" s="403"/>
      <c r="E172" s="362"/>
      <c r="F172" s="404"/>
      <c r="G172" s="405"/>
      <c r="H172" s="406"/>
      <c r="I172" s="407"/>
      <c r="J172" s="408"/>
      <c r="K172" s="409" t="str" cm="1">
        <f t="array" ref="K172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72" s="408"/>
      <c r="M172" s="410"/>
      <c r="N172" s="411" t="str" cm="1">
        <f t="array" ref="N172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72" s="410"/>
      <c r="P172" s="412"/>
      <c r="Q172" s="413" t="str" cm="1">
        <f t="array" ref="Q172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72" s="412"/>
      <c r="S172" s="414"/>
      <c r="T172" s="415" t="str" cm="1">
        <f t="array" ref="T172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72" s="414"/>
      <c r="V172" s="416"/>
      <c r="W172" s="417" t="str" cm="1">
        <f t="array" ref="W172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72" s="416"/>
      <c r="Y172" s="418"/>
      <c r="Z172" s="419" t="str" cm="1">
        <f t="array" ref="Z172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72" s="418"/>
      <c r="AB172" s="420"/>
      <c r="AC172" s="421" t="str" cm="1">
        <f t="array" ref="AC172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72" s="420"/>
      <c r="AE172" s="422"/>
      <c r="AF172" s="423" t="str" cm="1">
        <f t="array" ref="AF172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72" s="422"/>
      <c r="AH172" s="424"/>
      <c r="AI172" s="425" t="str" cm="1">
        <f t="array" ref="AI172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72" s="424"/>
      <c r="AK172" s="426"/>
      <c r="AL172" s="427" t="str" cm="1">
        <f t="array" ref="AL172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72" s="426"/>
      <c r="AN172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72" s="429">
        <f>IF(ISERR(SEARCH("UP",Tabela_SP5[[#This Row],[Umiej.prakt.]],1)),0,Tabela_SP5[[#This Row],[ects.razem]])</f>
        <v>0</v>
      </c>
      <c r="AP172" s="430">
        <f>IF(Tabela_SP5[[#This Row],[czy.ects]]="TAK",ROUND((SUM(Tabela_SP5[[#This Row],[godziny.konsultacja]],Tabela_SP5[[#This Row],[godziny.egzamin]],Tabela_SP5[[#This Row],[godziny.zajec.razem]])/25)/0.5,0)*0.5,0)</f>
        <v>0</v>
      </c>
      <c r="AQ172" s="431">
        <f>SUM(Tabela_SP5[[#This Row],[godziny.samoksztalcenie]],Tabela_SP5[[#This Row],[godziny.konsultacja]],Tabela_SP5[[#This Row],[godziny.egzamin]],Tabela_SP5[[#This Row],[godziny.zajec.razem]])</f>
        <v>0</v>
      </c>
      <c r="AR172" s="432">
        <f>INT(SUM(Tabela_SP5[[#This Row],[godziny.konsultacja]],Tabela_SP5[[#This Row],[godziny.egzamin]],Tabela_SP5[[#This Row],[godziny.zajec.razem]])*0.5+Tabela_SP5[[#This Row],[godziny.zajec.razem]]*(15-$G$191)/9)</f>
        <v>0</v>
      </c>
      <c r="AS172" s="433">
        <f>INT(Tabela_SP5[[#This Row],[godziny.zajec.razem]]*0.1)</f>
        <v>0</v>
      </c>
      <c r="AT172" s="409">
        <f>IF(Tabela_SP5[[#This Row],[godziny.zajec.razem]]&gt;0,IF(Tabela_SP5[[#This Row],[godziny.zajec.razem]]&gt;=45,4,2),0)</f>
        <v>0</v>
      </c>
      <c r="AU172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72" s="435">
        <f>IF(Tabela_SP5[[#This Row],[ects.bezposr.nauczyciel]],Tabela_SP5[[#This Row],[ects.bezposr.nauczyciel]]/Tabela_SP5[[#This Row],[ects.razem]],0)</f>
        <v>0</v>
      </c>
      <c r="AW172" s="207"/>
    </row>
    <row r="173" spans="1:49" ht="25.5" hidden="1" customHeight="1" x14ac:dyDescent="0.3">
      <c r="A173" s="207"/>
      <c r="B173" s="402"/>
      <c r="C173" s="403"/>
      <c r="D173" s="403"/>
      <c r="E173" s="362"/>
      <c r="F173" s="404"/>
      <c r="G173" s="405"/>
      <c r="H173" s="406"/>
      <c r="I173" s="407"/>
      <c r="J173" s="408"/>
      <c r="K173" s="409" t="str" cm="1">
        <f t="array" ref="K173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73" s="408"/>
      <c r="M173" s="410"/>
      <c r="N173" s="411" t="str" cm="1">
        <f t="array" ref="N173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73" s="410"/>
      <c r="P173" s="412"/>
      <c r="Q173" s="413" t="str" cm="1">
        <f t="array" ref="Q173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73" s="412"/>
      <c r="S173" s="414"/>
      <c r="T173" s="415" t="str" cm="1">
        <f t="array" ref="T173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73" s="414"/>
      <c r="V173" s="416"/>
      <c r="W173" s="417" t="str" cm="1">
        <f t="array" ref="W173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73" s="416"/>
      <c r="Y173" s="418"/>
      <c r="Z173" s="419" t="str" cm="1">
        <f t="array" ref="Z173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73" s="418"/>
      <c r="AB173" s="420"/>
      <c r="AC173" s="421" t="str" cm="1">
        <f t="array" ref="AC173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73" s="420"/>
      <c r="AE173" s="422"/>
      <c r="AF173" s="423" t="str" cm="1">
        <f t="array" ref="AF173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73" s="422"/>
      <c r="AH173" s="424"/>
      <c r="AI173" s="425" t="str" cm="1">
        <f t="array" ref="AI173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73" s="424"/>
      <c r="AK173" s="426"/>
      <c r="AL173" s="427" t="str" cm="1">
        <f t="array" ref="AL173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73" s="426"/>
      <c r="AN173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73" s="429">
        <f>IF(ISERR(SEARCH("UP",Tabela_SP5[[#This Row],[Umiej.prakt.]],1)),0,Tabela_SP5[[#This Row],[ects.razem]])</f>
        <v>0</v>
      </c>
      <c r="AP173" s="430">
        <f>IF(Tabela_SP5[[#This Row],[czy.ects]]="TAK",ROUND((SUM(Tabela_SP5[[#This Row],[godziny.konsultacja]],Tabela_SP5[[#This Row],[godziny.egzamin]],Tabela_SP5[[#This Row],[godziny.zajec.razem]])/25)/0.5,0)*0.5,0)</f>
        <v>0</v>
      </c>
      <c r="AQ173" s="431">
        <f>SUM(Tabela_SP5[[#This Row],[godziny.samoksztalcenie]],Tabela_SP5[[#This Row],[godziny.konsultacja]],Tabela_SP5[[#This Row],[godziny.egzamin]],Tabela_SP5[[#This Row],[godziny.zajec.razem]])</f>
        <v>0</v>
      </c>
      <c r="AR173" s="432">
        <f>INT(SUM(Tabela_SP5[[#This Row],[godziny.konsultacja]],Tabela_SP5[[#This Row],[godziny.egzamin]],Tabela_SP5[[#This Row],[godziny.zajec.razem]])*0.5+Tabela_SP5[[#This Row],[godziny.zajec.razem]]*(15-$G$191)/9)</f>
        <v>0</v>
      </c>
      <c r="AS173" s="433">
        <f>INT(Tabela_SP5[[#This Row],[godziny.zajec.razem]]*0.1)</f>
        <v>0</v>
      </c>
      <c r="AT173" s="409">
        <f>IF(Tabela_SP5[[#This Row],[godziny.zajec.razem]]&gt;0,IF(Tabela_SP5[[#This Row],[godziny.zajec.razem]]&gt;=45,4,2),0)</f>
        <v>0</v>
      </c>
      <c r="AU173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73" s="435">
        <f>IF(Tabela_SP5[[#This Row],[ects.bezposr.nauczyciel]],Tabela_SP5[[#This Row],[ects.bezposr.nauczyciel]]/Tabela_SP5[[#This Row],[ects.razem]],0)</f>
        <v>0</v>
      </c>
      <c r="AW173" s="207"/>
    </row>
    <row r="174" spans="1:49" ht="25.5" hidden="1" customHeight="1" x14ac:dyDescent="0.3">
      <c r="A174" s="207"/>
      <c r="B174" s="402"/>
      <c r="C174" s="403"/>
      <c r="D174" s="403"/>
      <c r="E174" s="363"/>
      <c r="F174" s="404"/>
      <c r="G174" s="405"/>
      <c r="H174" s="406"/>
      <c r="I174" s="407"/>
      <c r="J174" s="408"/>
      <c r="K174" s="409" t="str" cm="1">
        <f t="array" ref="K174">IF(Tabela_SP5[[#This Row],[czy.ects]]="TAK",_xlfn.IFS(AND(Tabela_SP5[[#This Row],[sem1.godziny]]&gt;=$Q$191,Tabela_SP5[[#This Row],[sem1.forma]]="z"),8,AND(Tabela_SP5[[#This Row],[sem1.godziny]]&gt;=$I$191,Tabela_SP5[[#This Row],[sem1.forma]]="z"),4,AND(Tabela_SP5[[#This Row],[sem1.godziny]]&gt;=$H$191,Tabela_SP5[[#This Row],[sem1.forma]]="e"),2,AND(Tabela_SP5[[#This Row],[sem1.godziny]]&lt;$H$191,Tabela_SP5[[#This Row],[sem1.forma]]="e"),1,AND(Tabela_SP5[[#This Row],[sem1.godziny]]&gt;=$H$191,Tabela_SP5[[#This Row],[sem1.forma]]="z"),2,AND(Tabela_SP5[[#This Row],[sem1.godziny]]&lt;$H$191,Tabela_SP5[[#This Row],[sem1.forma]]="z"),1,TRUE,""),"")</f>
        <v/>
      </c>
      <c r="L174" s="408"/>
      <c r="M174" s="410"/>
      <c r="N174" s="411" t="str" cm="1">
        <f t="array" ref="N174">IF(Tabela_SP5[[#This Row],[czy.ects]]="TAK",_xlfn.IFS(AND(Tabela_SP5[[#This Row],[sem2.godziny]]&gt;=$Q$191,Tabela_SP5[[#This Row],[sem2.forma]]="z"),8,AND(Tabela_SP5[[#This Row],[sem2.godziny]]&gt;=$I$191,Tabela_SP5[[#This Row],[sem2.forma]]="z"),4,AND(Tabela_SP5[[#This Row],[sem2.godziny]]&gt;=$H$191,Tabela_SP5[[#This Row],[sem2.forma]]="e"),2,AND(Tabela_SP5[[#This Row],[sem2.godziny]]&lt;$H$191,Tabela_SP5[[#This Row],[sem2.forma]]="e"),1,AND(Tabela_SP5[[#This Row],[sem2.godziny]]&gt;=$H$191,Tabela_SP5[[#This Row],[sem2.forma]]="z"),2,AND(Tabela_SP5[[#This Row],[sem2.godziny]]&lt;$H$191,Tabela_SP5[[#This Row],[sem2.forma]]="z"),1,TRUE,""),"")</f>
        <v/>
      </c>
      <c r="O174" s="410"/>
      <c r="P174" s="412"/>
      <c r="Q174" s="413" t="str" cm="1">
        <f t="array" ref="Q174">IF(Tabela_SP5[[#This Row],[czy.ects]]="TAK",_xlfn.IFS(AND(Tabela_SP5[[#This Row],[sem3.godziny]]&gt;=$Q$191,Tabela_SP5[[#This Row],[sem3.forma]]="z"),8,AND(Tabela_SP5[[#This Row],[sem3.godziny]]&gt;=$I$191,Tabela_SP5[[#This Row],[sem3.forma]]="z"),4,AND(Tabela_SP5[[#This Row],[sem3.godziny]]&gt;=$H$191,Tabela_SP5[[#This Row],[sem3.forma]]="e"),2,AND(Tabela_SP5[[#This Row],[sem3.godziny]]&lt;$H$191,Tabela_SP5[[#This Row],[sem3.forma]]="e"),1,AND(Tabela_SP5[[#This Row],[sem3.godziny]]&gt;=$H$191,Tabela_SP5[[#This Row],[sem3.forma]]="z"),2,AND(Tabela_SP5[[#This Row],[sem3.godziny]]&lt;$H$191,Tabela_SP5[[#This Row],[sem3.forma]]="z"),1,TRUE,""),"")</f>
        <v/>
      </c>
      <c r="R174" s="412"/>
      <c r="S174" s="414"/>
      <c r="T174" s="415" t="str" cm="1">
        <f t="array" ref="T174">IF(Tabela_SP5[[#This Row],[czy.ects]]="TAK",_xlfn.IFS(AND(Tabela_SP5[[#This Row],[sem4.godziny]]&gt;=$Q$191,Tabela_SP5[[#This Row],[sem4.forma]]="z"),8,AND(Tabela_SP5[[#This Row],[sem4.godziny]]&gt;=$I$191,Tabela_SP5[[#This Row],[sem4.forma]]="z"),4,AND(Tabela_SP5[[#This Row],[sem4.godziny]]&gt;=$H$191,Tabela_SP5[[#This Row],[sem4.forma]]="e"),2,AND(Tabela_SP5[[#This Row],[sem4.godziny]]&lt;$H$191,Tabela_SP5[[#This Row],[sem4.forma]]="e"),1,AND(Tabela_SP5[[#This Row],[sem4.godziny]]&gt;=$H$191,Tabela_SP5[[#This Row],[sem4.forma]]="z"),2,AND(Tabela_SP5[[#This Row],[sem4.godziny]]&lt;$H$191,Tabela_SP5[[#This Row],[sem4.forma]]="z"),1,TRUE,""),"")</f>
        <v/>
      </c>
      <c r="U174" s="414"/>
      <c r="V174" s="416"/>
      <c r="W174" s="417" t="str" cm="1">
        <f t="array" ref="W174">IF(Tabela_SP5[[#This Row],[czy.ects]]="TAK",_xlfn.IFS(AND(Tabela_SP5[[#This Row],[sem5.godziny]]&gt;=$Q$191,Tabela_SP5[[#This Row],[sem5.forma]]="z"),8,AND(Tabela_SP5[[#This Row],[sem5.godziny]]&gt;=$I$191,Tabela_SP5[[#This Row],[sem5.forma]]="z"),4,AND(Tabela_SP5[[#This Row],[sem5.godziny]]&gt;=$H$191,Tabela_SP5[[#This Row],[sem5.forma]]="e"),2,AND(Tabela_SP5[[#This Row],[sem5.godziny]]&lt;$H$191,Tabela_SP5[[#This Row],[sem5.forma]]="e"),1,AND(Tabela_SP5[[#This Row],[sem5.godziny]]&gt;=$H$191,Tabela_SP5[[#This Row],[sem5.forma]]="z"),2,AND(Tabela_SP5[[#This Row],[sem5.godziny]]&lt;$H$191,Tabela_SP5[[#This Row],[sem5.forma]]="z"),1,TRUE,""),"")</f>
        <v/>
      </c>
      <c r="X174" s="416"/>
      <c r="Y174" s="418"/>
      <c r="Z174" s="419" t="str" cm="1">
        <f t="array" ref="Z174">IF(Tabela_SP5[[#This Row],[czy.ects]]="TAK",_xlfn.IFS(AND(Tabela_SP5[[#This Row],[sem6.godziny]]&gt;=$Q$191,Tabela_SP5[[#This Row],[sem6.forma]]="z"),8,AND(Tabela_SP5[[#This Row],[sem6.godziny]]&gt;=$I$191,Tabela_SP5[[#This Row],[sem6.forma]]="z"),4,AND(Tabela_SP5[[#This Row],[sem6.godziny]]&gt;=$H$191,Tabela_SP5[[#This Row],[sem6.forma]]="e"),2,AND(Tabela_SP5[[#This Row],[sem6.godziny]]&lt;$H$191,Tabela_SP5[[#This Row],[sem6.forma]]="e"),1,AND(Tabela_SP5[[#This Row],[sem6.godziny]]&gt;=$H$191,Tabela_SP5[[#This Row],[sem6.forma]]="z"),2,AND(Tabela_SP5[[#This Row],[sem6.godziny]]&lt;$H$191,Tabela_SP5[[#This Row],[sem6.forma]]="z"),1,TRUE,""),"")</f>
        <v/>
      </c>
      <c r="AA174" s="418"/>
      <c r="AB174" s="420"/>
      <c r="AC174" s="421" t="str" cm="1">
        <f t="array" ref="AC174">IF(Tabela_SP5[[#This Row],[czy.ects]]="TAK",_xlfn.IFS(AND(Tabela_SP5[[#This Row],[sem7.godziny]]&gt;=$Q$191,Tabela_SP5[[#This Row],[sem7.forma]]="z"),8,AND(Tabela_SP5[[#This Row],[sem7.godziny]]&gt;=$I$191,Tabela_SP5[[#This Row],[sem7.forma]]="z"),4,AND(Tabela_SP5[[#This Row],[sem7.godziny]]&gt;=$H$191,Tabela_SP5[[#This Row],[sem7.forma]]="e"),2,AND(Tabela_SP5[[#This Row],[sem7.godziny]]&lt;$H$191,Tabela_SP5[[#This Row],[sem7.forma]]="e"),1,AND(Tabela_SP5[[#This Row],[sem7.godziny]]&gt;=$H$191,Tabela_SP5[[#This Row],[sem7.forma]]="z"),2,AND(Tabela_SP5[[#This Row],[sem7.godziny]]&lt;$H$191,Tabela_SP5[[#This Row],[sem7.forma]]="z"),1,TRUE,""),"")</f>
        <v/>
      </c>
      <c r="AD174" s="420"/>
      <c r="AE174" s="422"/>
      <c r="AF174" s="423" t="str" cm="1">
        <f t="array" ref="AF174">IF(Tabela_SP5[[#This Row],[czy.ects]]="TAK",_xlfn.IFS(AND(Tabela_SP5[[#This Row],[sem8.godziny]]&gt;=$Q$191,Tabela_SP5[[#This Row],[sem8.forma]]="z"),8,AND(Tabela_SP5[[#This Row],[sem8.godziny]]&gt;=$I$191,Tabela_SP5[[#This Row],[sem8.forma]]="z"),4,AND(Tabela_SP5[[#This Row],[sem8.godziny]]&gt;=$H$191,Tabela_SP5[[#This Row],[sem8.forma]]="e"),2,AND(Tabela_SP5[[#This Row],[sem8.godziny]]&lt;$H$191,Tabela_SP5[[#This Row],[sem8.forma]]="e"),1,AND(Tabela_SP5[[#This Row],[sem8.godziny]]&gt;=$H$191,Tabela_SP5[[#This Row],[sem8.forma]]="z"),2,AND(Tabela_SP5[[#This Row],[sem8.godziny]]&lt;$H$191,Tabela_SP5[[#This Row],[sem8.forma]]="z"),1,TRUE,""),"")</f>
        <v/>
      </c>
      <c r="AG174" s="422"/>
      <c r="AH174" s="424"/>
      <c r="AI174" s="425" t="str" cm="1">
        <f t="array" ref="AI174">IF(Tabela_SP5[[#This Row],[czy.ects]]="TAK",_xlfn.IFS(AND(Tabela_SP5[[#This Row],[sem9.godziny]]&gt;=$Q$191,Tabela_SP5[[#This Row],[sem9.forma]]="z"),8,AND(Tabela_SP5[[#This Row],[sem9.godziny]]&gt;=$I$191,Tabela_SP5[[#This Row],[sem9.forma]]="z"),4,AND(Tabela_SP5[[#This Row],[sem9.godziny]]&gt;=$H$191,Tabela_SP5[[#This Row],[sem9.forma]]="e"),2,AND(Tabela_SP5[[#This Row],[sem9.godziny]]&lt;$H$191,Tabela_SP5[[#This Row],[sem9.forma]]="e"),1,AND(Tabela_SP5[[#This Row],[sem9.godziny]]&gt;=$H$191,Tabela_SP5[[#This Row],[sem9.forma]]="z"),2,AND(Tabela_SP5[[#This Row],[sem9.godziny]]&lt;$H$191,Tabela_SP5[[#This Row],[sem9.forma]]="z"),1,TRUE,""),"")</f>
        <v/>
      </c>
      <c r="AJ174" s="424"/>
      <c r="AK174" s="426"/>
      <c r="AL174" s="427" t="str" cm="1">
        <f t="array" ref="AL174">IF(Tabela_SP5[[#This Row],[czy.ects]]="TAK",_xlfn.IFS(AND(Tabela_SP5[[#This Row],[sem10.godziny]]&gt;=$Q$191,Tabela_SP5[[#This Row],[sem10.forma]]="z"),8,AND(Tabela_SP5[[#This Row],[sem10.godziny]]&gt;=$I$191,Tabela_SP5[[#This Row],[sem10.forma]]="z"),4,AND(Tabela_SP5[[#This Row],[sem10.godziny]]&gt;=$H$191,Tabela_SP5[[#This Row],[sem10.forma]]="e"),2,AND(Tabela_SP5[[#This Row],[sem10.godziny]]&lt;$H$191,Tabela_SP5[[#This Row],[sem10.forma]]="e"),1,AND(Tabela_SP5[[#This Row],[sem10.godziny]]&gt;=$H$191,Tabela_SP5[[#This Row],[sem10.forma]]="z"),2,AND(Tabela_SP5[[#This Row],[sem10.godziny]]&lt;$H$191,Tabela_SP5[[#This Row],[sem10.forma]]="z"),1,TRUE,""),"")</f>
        <v/>
      </c>
      <c r="AM174" s="426"/>
      <c r="AN174" s="428">
        <f>SUM(Tabela_SP5[[#This Row],[sem1.ects]],Tabela_SP5[[#This Row],[sem2.ects]],Tabela_SP5[[#This Row],[sem3.ects]],Tabela_SP5[[#This Row],[sem4.ects]],Tabela_SP5[[#This Row],[sem5.ects]],Tabela_SP5[[#This Row],[sem6.ects]],Tabela_SP5[[#This Row],[sem7.ects]],Tabela_SP5[[#This Row],[sem8.ects]],Tabela_SP5[[#This Row],[sem9.ects]],Tabela_SP5[[#This Row],[sem10.ects]])</f>
        <v>0</v>
      </c>
      <c r="AO174" s="429">
        <f>IF(ISERR(SEARCH("UP",Tabela_SP5[[#This Row],[Umiej.prakt.]],1)),0,Tabela_SP5[[#This Row],[ects.razem]])</f>
        <v>0</v>
      </c>
      <c r="AP174" s="430">
        <f>IF(Tabela_SP5[[#This Row],[czy.ects]]="TAK",ROUND((SUM(Tabela_SP5[[#This Row],[godziny.konsultacja]],Tabela_SP5[[#This Row],[godziny.egzamin]],Tabela_SP5[[#This Row],[godziny.zajec.razem]])/25)/0.5,0)*0.5,0)</f>
        <v>0</v>
      </c>
      <c r="AQ174" s="431">
        <f>SUM(Tabela_SP5[[#This Row],[godziny.samoksztalcenie]],Tabela_SP5[[#This Row],[godziny.konsultacja]],Tabela_SP5[[#This Row],[godziny.egzamin]],Tabela_SP5[[#This Row],[godziny.zajec.razem]])</f>
        <v>0</v>
      </c>
      <c r="AR174" s="432">
        <f>INT(SUM(Tabela_SP5[[#This Row],[godziny.konsultacja]],Tabela_SP5[[#This Row],[godziny.egzamin]],Tabela_SP5[[#This Row],[godziny.zajec.razem]])*0.5+Tabela_SP5[[#This Row],[godziny.zajec.razem]]*(15-$G$191)/9)</f>
        <v>0</v>
      </c>
      <c r="AS174" s="433">
        <f>INT(Tabela_SP5[[#This Row],[godziny.zajec.razem]]*0.1)</f>
        <v>0</v>
      </c>
      <c r="AT174" s="409">
        <f>IF(Tabela_SP5[[#This Row],[godziny.zajec.razem]]&gt;0,IF(Tabela_SP5[[#This Row],[godziny.zajec.razem]]&gt;=45,4,2),0)</f>
        <v>0</v>
      </c>
      <c r="AU174" s="434">
        <f>SUM(Tabela_SP5[[#This Row],[sem1.godziny]],Tabela_SP5[[#This Row],[sem2.godziny]],Tabela_SP5[[#This Row],[sem3.godziny]],Tabela_SP5[[#This Row],[sem4.godziny]],Tabela_SP5[[#This Row],[sem5.godziny]],Tabela_SP5[[#This Row],[sem6.godziny]],Tabela_SP5[[#This Row],[sem7.godziny]],Tabela_SP5[[#This Row],[sem8.godziny]],Tabela_SP5[[#This Row],[sem9.godziny]],Tabela_SP5[[#This Row],[sem10.godziny]])</f>
        <v>0</v>
      </c>
      <c r="AV174" s="435">
        <f>IF(Tabela_SP5[[#This Row],[ects.bezposr.nauczyciel]],Tabela_SP5[[#This Row],[ects.bezposr.nauczyciel]]/Tabela_SP5[[#This Row],[ects.razem]],0)</f>
        <v>0</v>
      </c>
      <c r="AW174" s="207"/>
    </row>
    <row r="175" spans="1:49" ht="25.5" hidden="1" customHeight="1" x14ac:dyDescent="0.3">
      <c r="A175" s="207"/>
      <c r="B175" s="77"/>
      <c r="C175" s="49"/>
      <c r="D175" s="49"/>
      <c r="E175" s="49"/>
      <c r="F175" s="7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78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207"/>
      <c r="AP175" s="207"/>
      <c r="AQ175" s="207"/>
      <c r="AR175" s="207"/>
      <c r="AS175" s="207"/>
      <c r="AT175" s="207"/>
      <c r="AU175" s="207"/>
      <c r="AV175" s="207"/>
      <c r="AW175" s="207"/>
    </row>
    <row r="176" spans="1:49" ht="25.5" customHeight="1" x14ac:dyDescent="0.3">
      <c r="A176" s="207"/>
      <c r="B176" s="77"/>
      <c r="C176" s="49"/>
      <c r="D176" s="49"/>
      <c r="E176" s="49"/>
      <c r="F176" s="7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78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207"/>
      <c r="AP176" s="207"/>
      <c r="AQ176" s="207"/>
      <c r="AR176" s="207"/>
      <c r="AS176" s="207"/>
      <c r="AT176" s="207"/>
      <c r="AU176" s="207"/>
      <c r="AV176" s="207"/>
      <c r="AW176" s="207"/>
    </row>
    <row r="177" spans="1:49" ht="25.5" customHeight="1" x14ac:dyDescent="0.3">
      <c r="A177" s="207"/>
      <c r="B177" s="77"/>
      <c r="C177" s="49"/>
      <c r="D177" s="49"/>
      <c r="E177" s="49"/>
      <c r="F177" s="7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78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207"/>
      <c r="AP177" s="207"/>
      <c r="AQ177" s="207"/>
      <c r="AR177" s="207"/>
      <c r="AS177" s="207"/>
      <c r="AT177" s="207"/>
      <c r="AU177" s="207"/>
      <c r="AV177" s="207"/>
      <c r="AW177" s="207"/>
    </row>
    <row r="178" spans="1:49" ht="25.5" customHeight="1" x14ac:dyDescent="0.3">
      <c r="A178" s="207"/>
      <c r="B178" s="77"/>
      <c r="C178" s="49"/>
      <c r="D178" s="49"/>
      <c r="E178" s="49"/>
      <c r="F178" s="7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78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207"/>
      <c r="AP178" s="207"/>
      <c r="AQ178" s="207"/>
      <c r="AR178" s="207"/>
      <c r="AS178" s="207"/>
      <c r="AT178" s="207"/>
      <c r="AU178" s="207"/>
      <c r="AV178" s="207"/>
      <c r="AW178" s="207"/>
    </row>
    <row r="179" spans="1:49" ht="25.5" customHeight="1" x14ac:dyDescent="0.3">
      <c r="A179" s="207"/>
      <c r="B179" s="77"/>
      <c r="C179" s="49"/>
      <c r="D179" s="49"/>
      <c r="E179" s="49"/>
      <c r="F179" s="7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78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207"/>
      <c r="AP179" s="207"/>
      <c r="AQ179" s="207"/>
      <c r="AR179" s="207"/>
      <c r="AS179" s="207"/>
      <c r="AT179" s="207"/>
      <c r="AU179" s="207"/>
      <c r="AV179" s="207"/>
      <c r="AW179" s="207"/>
    </row>
    <row r="180" spans="1:49" ht="25.5" customHeight="1" x14ac:dyDescent="0.3">
      <c r="A180" s="207"/>
      <c r="B180" s="77"/>
      <c r="C180" s="49"/>
      <c r="D180" s="49"/>
      <c r="E180" s="49"/>
      <c r="F180" s="7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78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207"/>
      <c r="AP180" s="207"/>
      <c r="AQ180" s="207"/>
      <c r="AR180" s="207"/>
      <c r="AS180" s="207"/>
      <c r="AT180" s="207"/>
      <c r="AU180" s="207"/>
      <c r="AV180" s="207"/>
      <c r="AW180" s="207"/>
    </row>
    <row r="181" spans="1:49" ht="25.5" customHeight="1" x14ac:dyDescent="0.3">
      <c r="A181" s="207"/>
      <c r="B181" s="77"/>
      <c r="C181" s="49"/>
      <c r="D181" s="49"/>
      <c r="E181" s="49"/>
      <c r="F181" s="7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78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207"/>
      <c r="AP181" s="207"/>
      <c r="AQ181" s="207"/>
      <c r="AR181" s="207"/>
      <c r="AS181" s="207"/>
      <c r="AT181" s="207"/>
      <c r="AU181" s="207"/>
      <c r="AV181" s="207"/>
      <c r="AW181" s="207"/>
    </row>
    <row r="182" spans="1:49" ht="25.5" customHeight="1" x14ac:dyDescent="0.3">
      <c r="A182" s="295"/>
      <c r="B182" s="8"/>
      <c r="C182" s="1"/>
      <c r="D182" s="1"/>
      <c r="E182" s="1"/>
      <c r="F182" s="10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9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295"/>
      <c r="AP182" s="295"/>
      <c r="AQ182" s="295"/>
      <c r="AR182" s="295"/>
      <c r="AS182" s="295"/>
      <c r="AT182" s="295"/>
      <c r="AU182" s="295"/>
      <c r="AV182" s="295"/>
      <c r="AW182" s="295"/>
    </row>
    <row r="183" spans="1:49" ht="17.25" customHeight="1" x14ac:dyDescent="0.3">
      <c r="A183" s="295"/>
      <c r="B183" s="8"/>
      <c r="C183" s="1"/>
      <c r="D183" s="1"/>
      <c r="E183" s="1"/>
      <c r="F183" s="10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9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295"/>
      <c r="AP183" s="295"/>
      <c r="AQ183" s="295"/>
      <c r="AR183" s="295"/>
      <c r="AS183" s="295"/>
      <c r="AT183" s="295"/>
      <c r="AU183" s="295"/>
      <c r="AV183" s="295"/>
      <c r="AW183" s="295"/>
    </row>
    <row r="184" spans="1:49" ht="17.25" customHeight="1" x14ac:dyDescent="0.3">
      <c r="A184" s="295"/>
      <c r="B184" s="8"/>
      <c r="C184" s="1"/>
      <c r="D184" s="1"/>
      <c r="E184" s="1"/>
      <c r="F184" s="10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9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295"/>
      <c r="AP184" s="295"/>
      <c r="AQ184" s="295"/>
      <c r="AR184" s="295"/>
      <c r="AS184" s="295"/>
      <c r="AT184" s="295"/>
      <c r="AU184" s="295"/>
      <c r="AV184" s="295"/>
      <c r="AW184" s="295"/>
    </row>
    <row r="185" spans="1:49" ht="17.100000000000001" customHeight="1" x14ac:dyDescent="0.3">
      <c r="A185" s="295"/>
      <c r="B185" s="8"/>
      <c r="C185" s="1"/>
      <c r="D185" s="1"/>
      <c r="E185" s="1"/>
      <c r="F185" s="10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9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295"/>
      <c r="AP185" s="295"/>
      <c r="AQ185" s="295"/>
      <c r="AR185" s="295"/>
      <c r="AS185" s="295"/>
      <c r="AT185" s="295"/>
      <c r="AU185" s="295"/>
      <c r="AV185" s="295"/>
      <c r="AW185" s="295"/>
    </row>
    <row r="186" spans="1:49" ht="17.25" customHeight="1" x14ac:dyDescent="0.3">
      <c r="A186" s="295"/>
      <c r="B186" s="8"/>
      <c r="C186" s="1"/>
      <c r="D186" s="1"/>
      <c r="E186" s="1"/>
      <c r="F186" s="10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9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295"/>
      <c r="AP186" s="295"/>
      <c r="AQ186" s="295"/>
      <c r="AR186" s="295"/>
      <c r="AS186" s="295"/>
      <c r="AT186" s="295"/>
      <c r="AU186" s="295"/>
      <c r="AV186" s="295"/>
      <c r="AW186" s="295"/>
    </row>
    <row r="187" spans="1:49" ht="17.25" customHeight="1" x14ac:dyDescent="0.3">
      <c r="A187" s="295"/>
      <c r="B187" s="8"/>
      <c r="C187" s="1"/>
      <c r="D187" s="1"/>
      <c r="E187" s="1"/>
      <c r="F187" s="10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9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295"/>
      <c r="AP187" s="295"/>
      <c r="AQ187" s="295"/>
      <c r="AR187" s="295"/>
      <c r="AS187" s="295"/>
      <c r="AT187" s="295"/>
      <c r="AU187" s="295"/>
      <c r="AV187" s="295"/>
      <c r="AW187" s="295"/>
    </row>
    <row r="188" spans="1:49" ht="17.25" customHeight="1" x14ac:dyDescent="0.3">
      <c r="A188" s="295"/>
      <c r="B188" s="8"/>
      <c r="C188" s="1"/>
      <c r="D188" s="1"/>
      <c r="E188" s="1"/>
      <c r="F188" s="10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9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295"/>
      <c r="AP188" s="295"/>
      <c r="AQ188" s="295"/>
      <c r="AR188" s="295"/>
      <c r="AS188" s="295"/>
      <c r="AT188" s="295"/>
      <c r="AU188" s="295"/>
      <c r="AV188" s="295"/>
      <c r="AW188" s="295"/>
    </row>
    <row r="189" spans="1:49" ht="17.25" customHeight="1" x14ac:dyDescent="0.3">
      <c r="A189" s="295"/>
      <c r="B189" s="8"/>
      <c r="C189" s="1"/>
      <c r="D189" s="1"/>
      <c r="E189" s="1"/>
      <c r="F189" s="10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9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295"/>
      <c r="AP189" s="295"/>
      <c r="AQ189" s="295"/>
      <c r="AR189" s="295"/>
      <c r="AS189" s="295"/>
      <c r="AT189" s="295"/>
      <c r="AU189" s="295"/>
      <c r="AV189" s="295"/>
      <c r="AW189" s="295"/>
    </row>
    <row r="190" spans="1:49" ht="17.25" customHeight="1" thickBot="1" x14ac:dyDescent="0.35">
      <c r="A190" s="295"/>
      <c r="B190" s="8"/>
      <c r="C190" s="1"/>
      <c r="D190" s="1"/>
      <c r="E190" s="1"/>
      <c r="F190" s="10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9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295"/>
      <c r="AP190" s="295"/>
      <c r="AQ190" s="295"/>
      <c r="AR190" s="295"/>
      <c r="AS190" s="295"/>
      <c r="AT190" s="295"/>
      <c r="AU190" s="295"/>
      <c r="AV190" s="295"/>
      <c r="AW190" s="295"/>
    </row>
    <row r="191" spans="1:49" ht="17.25" customHeight="1" x14ac:dyDescent="0.3">
      <c r="A191" s="295"/>
      <c r="B191" s="8"/>
      <c r="C191" s="1"/>
      <c r="D191" s="1"/>
      <c r="E191" s="1"/>
      <c r="F191" s="10"/>
      <c r="G191" s="296">
        <v>15</v>
      </c>
      <c r="H191" s="296">
        <v>30</v>
      </c>
      <c r="I191" s="296">
        <v>45</v>
      </c>
      <c r="J191" s="296">
        <v>60</v>
      </c>
      <c r="K191" s="296">
        <v>75</v>
      </c>
      <c r="L191" s="296">
        <v>90</v>
      </c>
      <c r="M191" s="296">
        <v>105</v>
      </c>
      <c r="N191" s="296">
        <v>120</v>
      </c>
      <c r="O191" s="296">
        <v>135</v>
      </c>
      <c r="P191" s="296">
        <v>150</v>
      </c>
      <c r="Q191" s="297">
        <v>168</v>
      </c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295"/>
      <c r="AP191" s="295"/>
      <c r="AQ191" s="295"/>
      <c r="AR191" s="295"/>
      <c r="AS191" s="295"/>
      <c r="AT191" s="295"/>
      <c r="AU191" s="295"/>
      <c r="AV191" s="295"/>
      <c r="AW191" s="295"/>
    </row>
    <row r="192" spans="1:49" ht="17.25" customHeight="1" x14ac:dyDescent="0.3">
      <c r="A192" s="295"/>
      <c r="B192" s="8"/>
      <c r="C192" s="1"/>
      <c r="D192" s="1"/>
      <c r="E192" s="1"/>
      <c r="F192" s="1"/>
      <c r="G192" s="1"/>
      <c r="H192" s="1"/>
      <c r="I192" s="1"/>
      <c r="J192" s="1"/>
      <c r="K192" s="9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295"/>
      <c r="AI192" s="295"/>
      <c r="AJ192" s="295"/>
      <c r="AK192" s="295"/>
      <c r="AL192" s="295"/>
      <c r="AM192" s="295"/>
      <c r="AN192" s="295"/>
      <c r="AO192" s="295"/>
      <c r="AP192" s="295"/>
      <c r="AQ192" s="295"/>
      <c r="AR192" s="295"/>
      <c r="AS192" s="295"/>
      <c r="AT192" s="295"/>
      <c r="AU192" s="295"/>
      <c r="AV192" s="295"/>
      <c r="AW192" s="295"/>
    </row>
    <row r="193" spans="1:49" ht="42.95" customHeight="1" thickBot="1" x14ac:dyDescent="0.35">
      <c r="A193" s="295"/>
      <c r="B193" s="8"/>
      <c r="C193" s="1"/>
      <c r="D193" s="1"/>
      <c r="E193" s="1"/>
      <c r="F193" s="1"/>
      <c r="G193" s="1"/>
      <c r="H193" s="1"/>
      <c r="I193" s="1"/>
      <c r="J193" s="1"/>
      <c r="K193" s="9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295"/>
      <c r="AI193" s="295"/>
      <c r="AJ193" s="295"/>
      <c r="AK193" s="295"/>
      <c r="AL193" s="295"/>
      <c r="AM193" s="295"/>
      <c r="AN193" s="295"/>
      <c r="AO193" s="295"/>
      <c r="AP193" s="295"/>
      <c r="AQ193" s="295"/>
      <c r="AR193" s="295"/>
      <c r="AS193" s="295"/>
      <c r="AT193" s="295"/>
      <c r="AU193" s="295"/>
      <c r="AV193" s="295"/>
      <c r="AW193" s="295"/>
    </row>
    <row r="194" spans="1:49" ht="42.95" customHeight="1" x14ac:dyDescent="0.3">
      <c r="A194" s="295"/>
      <c r="B194" s="8"/>
      <c r="C194" s="11" t="s">
        <v>46</v>
      </c>
      <c r="D194" s="12" t="s">
        <v>47</v>
      </c>
      <c r="E194" s="1"/>
      <c r="F194" s="298" t="s">
        <v>407</v>
      </c>
      <c r="G194" s="296">
        <v>15</v>
      </c>
      <c r="H194" s="296">
        <v>30</v>
      </c>
      <c r="I194" s="296">
        <v>45</v>
      </c>
      <c r="J194" s="296">
        <v>60</v>
      </c>
      <c r="K194" s="296">
        <v>75</v>
      </c>
      <c r="L194" s="296">
        <v>90</v>
      </c>
      <c r="M194" s="296">
        <v>105</v>
      </c>
      <c r="N194" s="296">
        <v>120</v>
      </c>
      <c r="O194" s="296">
        <v>135</v>
      </c>
      <c r="P194" s="296">
        <v>150</v>
      </c>
      <c r="Q194" s="297">
        <v>168</v>
      </c>
      <c r="R194" s="29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295"/>
      <c r="AI194" s="295"/>
      <c r="AJ194" s="295"/>
      <c r="AK194" s="295"/>
      <c r="AL194" s="295"/>
      <c r="AM194" s="295"/>
      <c r="AN194" s="295"/>
      <c r="AO194" s="295"/>
      <c r="AP194" s="295"/>
      <c r="AQ194" s="295"/>
      <c r="AR194" s="295"/>
      <c r="AS194" s="295"/>
      <c r="AT194" s="295"/>
      <c r="AU194" s="295"/>
      <c r="AV194" s="295"/>
      <c r="AW194" s="295"/>
    </row>
    <row r="195" spans="1:49" ht="42.95" customHeight="1" x14ac:dyDescent="0.3">
      <c r="A195" s="295"/>
      <c r="B195" s="8"/>
      <c r="C195" s="11"/>
      <c r="D195" s="14" t="s">
        <v>38</v>
      </c>
      <c r="E195" s="1" t="s">
        <v>32</v>
      </c>
      <c r="F195" s="299"/>
      <c r="G195" s="300"/>
      <c r="H195" s="300"/>
      <c r="I195" s="300"/>
      <c r="J195" s="300"/>
      <c r="K195" s="300"/>
      <c r="L195" s="300"/>
      <c r="M195" s="300"/>
      <c r="N195" s="300"/>
      <c r="O195" s="300"/>
      <c r="P195" s="300"/>
      <c r="Q195" s="301"/>
      <c r="R195" s="29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295"/>
      <c r="AI195" s="295"/>
      <c r="AJ195" s="295"/>
      <c r="AK195" s="295"/>
      <c r="AL195" s="295"/>
      <c r="AM195" s="295"/>
      <c r="AN195" s="295"/>
      <c r="AO195" s="295"/>
      <c r="AP195" s="295"/>
      <c r="AQ195" s="295"/>
      <c r="AR195" s="295"/>
      <c r="AS195" s="295"/>
      <c r="AT195" s="295"/>
      <c r="AU195" s="295"/>
      <c r="AV195" s="295"/>
      <c r="AW195" s="295"/>
    </row>
    <row r="196" spans="1:49" ht="42.95" customHeight="1" thickBot="1" x14ac:dyDescent="0.35">
      <c r="A196" s="295"/>
      <c r="B196" s="8"/>
      <c r="C196" s="13" t="s">
        <v>41</v>
      </c>
      <c r="D196" s="14" t="s">
        <v>434</v>
      </c>
      <c r="E196" s="1" t="s">
        <v>367</v>
      </c>
      <c r="F196" s="302"/>
      <c r="G196" s="303"/>
      <c r="H196" s="303"/>
      <c r="I196" s="303"/>
      <c r="J196" s="303"/>
      <c r="K196" s="303"/>
      <c r="L196" s="303"/>
      <c r="M196" s="303"/>
      <c r="N196" s="303"/>
      <c r="O196" s="303"/>
      <c r="P196" s="303"/>
      <c r="Q196" s="304"/>
      <c r="R196" s="29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295"/>
      <c r="AI196" s="295"/>
      <c r="AJ196" s="295"/>
      <c r="AK196" s="295"/>
      <c r="AL196" s="295"/>
      <c r="AM196" s="295"/>
      <c r="AN196" s="295"/>
      <c r="AO196" s="295"/>
      <c r="AP196" s="295"/>
      <c r="AQ196" s="295"/>
      <c r="AR196" s="295"/>
      <c r="AS196" s="295"/>
      <c r="AT196" s="295"/>
      <c r="AU196" s="295"/>
      <c r="AV196" s="295"/>
      <c r="AW196" s="295"/>
    </row>
    <row r="197" spans="1:49" ht="42.95" customHeight="1" x14ac:dyDescent="0.3">
      <c r="A197" s="295"/>
      <c r="B197" s="8"/>
      <c r="C197" s="13" t="s">
        <v>33</v>
      </c>
      <c r="D197" s="14" t="s">
        <v>37</v>
      </c>
      <c r="E197" s="1"/>
      <c r="F197" s="1"/>
      <c r="G197" s="1"/>
      <c r="H197" s="1"/>
      <c r="I197" s="1"/>
      <c r="J197" s="1"/>
      <c r="K197" s="9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295"/>
      <c r="AI197" s="295"/>
      <c r="AJ197" s="295"/>
      <c r="AK197" s="295"/>
      <c r="AL197" s="295"/>
      <c r="AM197" s="295"/>
      <c r="AN197" s="295"/>
      <c r="AO197" s="295"/>
      <c r="AP197" s="295"/>
      <c r="AQ197" s="295"/>
      <c r="AR197" s="295"/>
      <c r="AS197" s="295"/>
      <c r="AT197" s="295"/>
      <c r="AU197" s="295"/>
      <c r="AV197" s="295"/>
      <c r="AW197" s="295"/>
    </row>
    <row r="198" spans="1:49" ht="42.95" customHeight="1" x14ac:dyDescent="0.3">
      <c r="A198" s="295"/>
      <c r="B198" s="8"/>
      <c r="C198" s="13" t="s">
        <v>35</v>
      </c>
      <c r="D198" s="14" t="s">
        <v>31</v>
      </c>
      <c r="E198" s="1" t="s">
        <v>406</v>
      </c>
      <c r="F198" s="1"/>
      <c r="G198" s="1"/>
      <c r="H198" s="1"/>
      <c r="I198" s="1"/>
      <c r="J198" s="1"/>
      <c r="K198" s="9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95"/>
      <c r="AI198" s="295"/>
      <c r="AJ198" s="295"/>
      <c r="AK198" s="295"/>
      <c r="AL198" s="295"/>
      <c r="AM198" s="295"/>
      <c r="AN198" s="295"/>
      <c r="AO198" s="295"/>
      <c r="AP198" s="295"/>
      <c r="AQ198" s="295"/>
      <c r="AR198" s="295"/>
      <c r="AS198" s="295"/>
      <c r="AT198" s="295"/>
      <c r="AU198" s="295"/>
      <c r="AV198" s="295"/>
      <c r="AW198" s="295"/>
    </row>
    <row r="199" spans="1:49" ht="42.95" customHeight="1" x14ac:dyDescent="0.3">
      <c r="A199" s="295"/>
      <c r="B199" s="8"/>
      <c r="C199" s="13" t="s">
        <v>48</v>
      </c>
      <c r="D199" s="14" t="s">
        <v>39</v>
      </c>
      <c r="E199" s="1"/>
      <c r="F199" s="1"/>
      <c r="G199" s="1"/>
      <c r="H199" s="1"/>
      <c r="I199" s="1"/>
      <c r="J199" s="1"/>
      <c r="K199" s="9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295"/>
      <c r="AJ199" s="295"/>
      <c r="AK199" s="295"/>
      <c r="AL199" s="295"/>
      <c r="AM199" s="295"/>
      <c r="AN199" s="295"/>
      <c r="AO199" s="295"/>
      <c r="AP199" s="295"/>
      <c r="AQ199" s="295"/>
      <c r="AR199" s="295"/>
      <c r="AS199" s="295"/>
      <c r="AT199" s="295"/>
      <c r="AU199" s="295"/>
      <c r="AV199" s="295"/>
      <c r="AW199" s="295"/>
    </row>
    <row r="200" spans="1:49" ht="42.95" customHeight="1" x14ac:dyDescent="0.3">
      <c r="A200" s="295"/>
      <c r="B200" s="8"/>
      <c r="C200" s="1"/>
      <c r="D200" s="14" t="s">
        <v>44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295"/>
      <c r="AJ200" s="295"/>
      <c r="AK200" s="295"/>
      <c r="AL200" s="295"/>
      <c r="AM200" s="295"/>
      <c r="AN200" s="295"/>
      <c r="AO200" s="295"/>
      <c r="AP200" s="295"/>
      <c r="AQ200" s="295"/>
      <c r="AR200" s="295"/>
      <c r="AS200" s="295"/>
      <c r="AT200" s="295"/>
      <c r="AU200" s="295"/>
      <c r="AV200" s="295"/>
      <c r="AW200" s="295"/>
    </row>
    <row r="201" spans="1:49" ht="42.95" customHeight="1" x14ac:dyDescent="0.3">
      <c r="A201" s="295"/>
      <c r="B201" s="8"/>
      <c r="C201" s="1"/>
      <c r="D201" s="14" t="s">
        <v>49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295"/>
      <c r="AJ201" s="295"/>
      <c r="AK201" s="295"/>
      <c r="AL201" s="295"/>
      <c r="AM201" s="295"/>
      <c r="AN201" s="295"/>
      <c r="AO201" s="295"/>
      <c r="AP201" s="295"/>
      <c r="AQ201" s="295"/>
      <c r="AR201" s="295"/>
      <c r="AS201" s="295"/>
      <c r="AT201" s="295"/>
      <c r="AU201" s="295"/>
      <c r="AV201" s="295"/>
      <c r="AW201" s="295"/>
    </row>
    <row r="202" spans="1:49" ht="42.95" customHeight="1" x14ac:dyDescent="0.3">
      <c r="A202" s="295"/>
      <c r="B202" s="8"/>
      <c r="C202" s="1"/>
      <c r="D202" s="14" t="s">
        <v>50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295"/>
      <c r="AJ202" s="295"/>
      <c r="AK202" s="295"/>
      <c r="AL202" s="295"/>
      <c r="AM202" s="295"/>
      <c r="AN202" s="295"/>
      <c r="AO202" s="295"/>
      <c r="AP202" s="295"/>
      <c r="AQ202" s="295"/>
      <c r="AR202" s="295"/>
      <c r="AS202" s="295"/>
      <c r="AT202" s="295"/>
      <c r="AU202" s="295"/>
      <c r="AV202" s="295"/>
      <c r="AW202" s="295"/>
    </row>
    <row r="203" spans="1:49" ht="42.95" customHeight="1" x14ac:dyDescent="0.3">
      <c r="A203" s="295"/>
      <c r="B203" s="8"/>
      <c r="C203" s="1"/>
      <c r="D203" s="14" t="s">
        <v>51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295"/>
      <c r="AJ203" s="295"/>
      <c r="AK203" s="295"/>
      <c r="AL203" s="295"/>
      <c r="AM203" s="295"/>
      <c r="AN203" s="295"/>
      <c r="AO203" s="295"/>
      <c r="AP203" s="295"/>
      <c r="AQ203" s="295"/>
      <c r="AR203" s="295"/>
      <c r="AS203" s="295"/>
      <c r="AT203" s="295"/>
      <c r="AU203" s="295"/>
      <c r="AV203" s="295"/>
      <c r="AW203" s="295"/>
    </row>
    <row r="204" spans="1:49" ht="42.95" customHeight="1" x14ac:dyDescent="0.3">
      <c r="A204" s="295"/>
      <c r="B204" s="8"/>
      <c r="C204" s="1"/>
      <c r="D204" s="14" t="s">
        <v>34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295"/>
      <c r="AJ204" s="295"/>
      <c r="AK204" s="295"/>
      <c r="AL204" s="295"/>
      <c r="AM204" s="295"/>
      <c r="AN204" s="295"/>
      <c r="AO204" s="295"/>
      <c r="AP204" s="295"/>
      <c r="AQ204" s="295"/>
      <c r="AR204" s="295"/>
      <c r="AS204" s="295"/>
      <c r="AT204" s="295"/>
      <c r="AU204" s="295"/>
      <c r="AV204" s="295"/>
      <c r="AW204" s="295"/>
    </row>
    <row r="205" spans="1:49" ht="42.95" customHeight="1" thickBot="1" x14ac:dyDescent="0.35">
      <c r="A205" s="295"/>
      <c r="B205" s="8"/>
      <c r="C205" s="1"/>
      <c r="D205" s="15" t="s">
        <v>43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295"/>
      <c r="AJ205" s="295"/>
      <c r="AK205" s="295"/>
      <c r="AL205" s="295"/>
      <c r="AM205" s="295"/>
      <c r="AN205" s="295"/>
      <c r="AO205" s="295"/>
      <c r="AP205" s="295"/>
      <c r="AQ205" s="295"/>
      <c r="AR205" s="295"/>
      <c r="AS205" s="295"/>
      <c r="AT205" s="295"/>
      <c r="AU205" s="295"/>
      <c r="AV205" s="295"/>
      <c r="AW205" s="295"/>
    </row>
    <row r="206" spans="1:49" ht="42.95" customHeight="1" x14ac:dyDescent="0.2"/>
    <row r="207" spans="1:49" ht="42.95" customHeight="1" x14ac:dyDescent="0.2"/>
  </sheetData>
  <sheetProtection formatCells="0" insertRows="0" deleteRows="0" sort="0" autoFilter="0"/>
  <mergeCells count="39">
    <mergeCell ref="B136:I136"/>
    <mergeCell ref="B156:I156"/>
    <mergeCell ref="B87:I87"/>
    <mergeCell ref="S3:U3"/>
    <mergeCell ref="B2:I2"/>
    <mergeCell ref="J2:O2"/>
    <mergeCell ref="P2:U2"/>
    <mergeCell ref="B79:I79"/>
    <mergeCell ref="B78:G78"/>
    <mergeCell ref="H78:I78"/>
    <mergeCell ref="B12:O12"/>
    <mergeCell ref="B119:F119"/>
    <mergeCell ref="B120:I120"/>
    <mergeCell ref="B103:I103"/>
    <mergeCell ref="AH2:AM2"/>
    <mergeCell ref="AB3:AD3"/>
    <mergeCell ref="B44:I44"/>
    <mergeCell ref="V2:AA2"/>
    <mergeCell ref="AB2:AG2"/>
    <mergeCell ref="B15:I15"/>
    <mergeCell ref="P3:R3"/>
    <mergeCell ref="B27:I27"/>
    <mergeCell ref="B26:G26"/>
    <mergeCell ref="B14:G14"/>
    <mergeCell ref="J3:L3"/>
    <mergeCell ref="M3:O3"/>
    <mergeCell ref="B43:G43"/>
    <mergeCell ref="H43:I43"/>
    <mergeCell ref="AN3:AV3"/>
    <mergeCell ref="B3:E3"/>
    <mergeCell ref="F3:F4"/>
    <mergeCell ref="G3:G4"/>
    <mergeCell ref="H3:H4"/>
    <mergeCell ref="I3:I4"/>
    <mergeCell ref="V3:X3"/>
    <mergeCell ref="Y3:AA3"/>
    <mergeCell ref="AH3:AJ3"/>
    <mergeCell ref="AK3:AM3"/>
    <mergeCell ref="AE3:AG3"/>
  </mergeCells>
  <phoneticPr fontId="41" type="noConversion"/>
  <conditionalFormatting sqref="K6:K10 N6:N10 Q6:Q10 T6:T10 W6:W10 Z6:Z10 AC6:AC10 AF6:AF10 AI6:AI10 AL6:AL10">
    <cfRule type="cellIs" dxfId="13" priority="1" operator="greaterThan">
      <formula>30</formula>
    </cfRule>
    <cfRule type="cellIs" dxfId="12" priority="2" operator="between">
      <formula>1</formula>
      <formula>29</formula>
    </cfRule>
    <cfRule type="cellIs" dxfId="11" priority="3" operator="equal">
      <formula>30</formula>
    </cfRule>
  </conditionalFormatting>
  <conditionalFormatting sqref="AV6:AV118 AV120:AV134">
    <cfRule type="cellIs" dxfId="10" priority="13" operator="between">
      <formula>0.00001</formula>
      <formula>0.49999</formula>
    </cfRule>
  </conditionalFormatting>
  <conditionalFormatting sqref="AV136:AV154">
    <cfRule type="cellIs" dxfId="9" priority="5" operator="between">
      <formula>0.00001</formula>
      <formula>0.49999</formula>
    </cfRule>
  </conditionalFormatting>
  <conditionalFormatting sqref="AV156:AV174">
    <cfRule type="cellIs" dxfId="8" priority="4" operator="between">
      <formula>0.00001</formula>
      <formula>0.49999</formula>
    </cfRule>
  </conditionalFormatting>
  <dataValidations count="4">
    <dataValidation type="list" allowBlank="1" showInputMessage="1" showErrorMessage="1" errorTitle="Błędny wpis" error="Wybierz TAK lub NIE z listy rozwijalnej" promptTitle="Dostępne wartości" prompt="_x000a_TAK - przedmiot zawiera ECTS_x000a__x000a_NIE - przedmiot nie zawiera ECTS" sqref="I158:I174 I46:I77 I138:I154 I105:I118 I122:I134 I81:I86 I17:I24 I29:I42 I89:I102" xr:uid="{00000000-0002-0000-0000-000000000000}">
      <formula1>$E$195:$E$196</formula1>
    </dataValidation>
    <dataValidation type="list" allowBlank="1" showInputMessage="1" showErrorMessage="1" errorTitle="Błędna forma zaliczenia" error="Wybierz jedną z dostępnych form zaliczenia z listy rozwijalnej." promptTitle="Dostępne wartości" prompt="_x000a_e - egzamin_x000a_z - zaliczenie z oceną_x000a_b - zaliczenie bez oceny_x000a_n - ???" sqref="R81:R86 L46:L77 X46:X77 AA46:AA77 R46:R77 U46:U77 O46:O77 AJ46:AJ76 AG46:AG76 AD46:AD76 AM46:AM76 R158:R174 O158:O174 L158:L174 X158:X174 AG158:AG174 AD158:AD174 AM158:AM174 AA158:AA174 AJ158:AJ174 U138:U154 R138:R154 O138:O154 L138:L154 X138:X154 AG138:AG154 AD138:AD154 AM138:AM154 AA138:AA154 AJ138:AJ154 U122:U134 AA105:AA118 R105:R118 U105:U118 X105:X118 L105:L118 L89:L102 AA89:AA102 O89:O102 X89:X102 R89:R102 U158:U174 U29:U42 R29:R42 O29:O42 L29:L42 AA29:AA42 L17:L24 O17:O24 R17:R24 U17:U24 X17:X24 O105:O118 R122:R134 O122:O134 L122:L134 X122:X134 U89:U102 AM17:AM24 AG122:AG134 AD122:AD134 AM122:AM134 O81:O86 AJ81:AJ85 AG81:AG85 AD81:AD85 AM81:AM85 U81:U86 X29:X42 AJ105:AJ118 AG105:AG118 AD105:AD118 AJ89:AJ101 AG89:AG101 AD89:AD101 AJ29:AJ41 AG29:AG41 AD29:AD41 AA17:AA24 AJ17:AJ24 AG17:AG24 H3:I3 AM89:AM101 AD17:AD24 AM105:AM118 AA81:AA86 AM29:AM41 X81:X86 L81:L86 AJ122:AJ134 AA122:AA134" xr:uid="{00000000-0002-0000-0000-000002000000}">
      <formula1>$C$195:$C$199</formula1>
    </dataValidation>
    <dataValidation type="list" allowBlank="1" showInputMessage="1" showErrorMessage="1" errorTitle="Błędna wartość" error="Wprowadzono błędną wartość._x000a__x000a_To pole może być puste lub zawierać UP jako wartość." promptTitle="Dostępne wartości" prompt="_x000a_UP - przedmiot kształtuje umiejętności praktyczne_x000a__x000a_puste pole - przedmiot nie kształtuje umiejętności praktycznych" sqref="E81:E85 E158:E174 E138:E154 E17:E24 E123 E133:E134" xr:uid="{D652B5CA-53B7-4C21-AA82-7378F679C98D}">
      <formula1>$E$197:$E$198</formula1>
    </dataValidation>
    <dataValidation type="list" allowBlank="1" showInputMessage="1" showErrorMessage="1" errorTitle="Nieprawidłowa forma zajęć" error="Wybierz jedną z dostępnych form zajęć z listy rozwijalnej." promptTitle="Dostępne formy zajęć" prompt="_x000a_Wykład_x000a_Semiarium_x000a_Konwersatorium_x000a_Ćwiczenia_x000a_Laboratoria_x000a_Projekt_x000a_Warsztaty _x000a_Obóz szkoleniowy_x000a_Zajęcia plenerowe_x000a_Instruktaż_x000a_Praktyka" sqref="H158:H174 H46:H77 H138:H154 H105:H118 H89:H102 H122:H134 H81:H86 H17:H24 H29:H42" xr:uid="{00000000-0002-0000-0000-000004000000}">
      <formula1>$D$195:$D$205</formula1>
    </dataValidation>
  </dataValidations>
  <pageMargins left="0.31496062992125984" right="0.31496062992125984" top="0.19685039370078741" bottom="0.19685039370078741" header="0" footer="0"/>
  <pageSetup scale="46" fitToHeight="0" orientation="landscape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B554-BDDB-44F4-9E18-122C3DB243E9}">
  <sheetPr>
    <tabColor rgb="FF92D050"/>
    <pageSetUpPr fitToPage="1"/>
  </sheetPr>
  <dimension ref="A1:XFB319"/>
  <sheetViews>
    <sheetView tabSelected="1" topLeftCell="A4" zoomScale="110" zoomScaleNormal="110" zoomScaleSheetLayoutView="85" workbookViewId="0">
      <selection activeCell="D4" sqref="D4"/>
    </sheetView>
  </sheetViews>
  <sheetFormatPr defaultColWidth="0" defaultRowHeight="15.75" customHeight="1" zeroHeight="1" x14ac:dyDescent="0.2"/>
  <cols>
    <col min="1" max="1" width="1.125" customWidth="1"/>
    <col min="2" max="3" width="7.5" customWidth="1"/>
    <col min="4" max="4" width="10" customWidth="1"/>
    <col min="5" max="5" width="5" customWidth="1"/>
    <col min="6" max="6" width="30.625" customWidth="1"/>
    <col min="7" max="7" width="13.625" hidden="1" customWidth="1"/>
    <col min="8" max="8" width="11.125" customWidth="1"/>
    <col min="9" max="9" width="5.625" customWidth="1"/>
    <col min="10" max="27" width="5" customWidth="1"/>
    <col min="28" max="39" width="5" hidden="1" customWidth="1"/>
    <col min="40" max="40" width="7.5" customWidth="1"/>
    <col min="41" max="41" width="10.125" customWidth="1"/>
    <col min="42" max="42" width="15" customWidth="1"/>
    <col min="43" max="47" width="7.5" customWidth="1"/>
    <col min="48" max="48" width="13.625" customWidth="1"/>
    <col min="49" max="49" width="1.125" customWidth="1"/>
    <col min="50" max="16382" width="12.625" hidden="1"/>
    <col min="16383" max="16384" width="9.125" hidden="1"/>
  </cols>
  <sheetData>
    <row r="1" spans="1:49" ht="7.5" customHeight="1" thickBot="1" x14ac:dyDescent="0.35">
      <c r="A1" s="207"/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  <c r="AR1" s="207"/>
      <c r="AS1" s="207"/>
      <c r="AT1" s="207"/>
      <c r="AU1" s="207"/>
      <c r="AV1" s="207"/>
      <c r="AW1" s="207"/>
    </row>
    <row r="2" spans="1:49" ht="38.25" customHeight="1" thickBot="1" x14ac:dyDescent="0.35">
      <c r="A2" s="207"/>
      <c r="B2" s="777" t="s">
        <v>612</v>
      </c>
      <c r="C2" s="778"/>
      <c r="D2" s="778"/>
      <c r="E2" s="778"/>
      <c r="F2" s="778"/>
      <c r="G2" s="778"/>
      <c r="H2" s="778"/>
      <c r="I2" s="779"/>
      <c r="J2" s="780" t="s">
        <v>0</v>
      </c>
      <c r="K2" s="781"/>
      <c r="L2" s="781"/>
      <c r="M2" s="781"/>
      <c r="N2" s="781"/>
      <c r="O2" s="781"/>
      <c r="P2" s="782" t="s">
        <v>1</v>
      </c>
      <c r="Q2" s="781"/>
      <c r="R2" s="781"/>
      <c r="S2" s="781"/>
      <c r="T2" s="781"/>
      <c r="U2" s="781"/>
      <c r="V2" s="764" t="s">
        <v>2</v>
      </c>
      <c r="W2" s="764"/>
      <c r="X2" s="764"/>
      <c r="Y2" s="764"/>
      <c r="Z2" s="764"/>
      <c r="AA2" s="764"/>
      <c r="AB2" s="765" t="s">
        <v>3</v>
      </c>
      <c r="AC2" s="765"/>
      <c r="AD2" s="765"/>
      <c r="AE2" s="765"/>
      <c r="AF2" s="765"/>
      <c r="AG2" s="765"/>
      <c r="AH2" s="758" t="s">
        <v>421</v>
      </c>
      <c r="AI2" s="758"/>
      <c r="AJ2" s="758"/>
      <c r="AK2" s="758"/>
      <c r="AL2" s="758"/>
      <c r="AM2" s="758"/>
      <c r="AN2" s="208"/>
      <c r="AO2" s="209"/>
      <c r="AP2" s="138"/>
      <c r="AQ2" s="139"/>
      <c r="AR2" s="139"/>
      <c r="AS2" s="139"/>
      <c r="AT2" s="139"/>
      <c r="AU2" s="139"/>
      <c r="AV2" s="140"/>
      <c r="AW2" s="49"/>
    </row>
    <row r="3" spans="1:49" ht="17.25" customHeight="1" thickBot="1" x14ac:dyDescent="0.35">
      <c r="A3" s="207"/>
      <c r="B3" s="734"/>
      <c r="C3" s="735"/>
      <c r="D3" s="735"/>
      <c r="E3" s="736"/>
      <c r="F3" s="737" t="s">
        <v>422</v>
      </c>
      <c r="G3" s="739" t="s">
        <v>15</v>
      </c>
      <c r="H3" s="741" t="s">
        <v>16</v>
      </c>
      <c r="I3" s="741" t="s">
        <v>17</v>
      </c>
      <c r="J3" s="774" t="s">
        <v>4</v>
      </c>
      <c r="K3" s="760"/>
      <c r="L3" s="761"/>
      <c r="M3" s="775" t="s">
        <v>5</v>
      </c>
      <c r="N3" s="760"/>
      <c r="O3" s="761"/>
      <c r="P3" s="768" t="s">
        <v>6</v>
      </c>
      <c r="Q3" s="760"/>
      <c r="R3" s="761"/>
      <c r="S3" s="776" t="s">
        <v>7</v>
      </c>
      <c r="T3" s="760"/>
      <c r="U3" s="761"/>
      <c r="V3" s="743" t="s">
        <v>8</v>
      </c>
      <c r="W3" s="744"/>
      <c r="X3" s="745"/>
      <c r="Y3" s="746" t="s">
        <v>9</v>
      </c>
      <c r="Z3" s="747"/>
      <c r="AA3" s="748"/>
      <c r="AB3" s="759" t="s">
        <v>10</v>
      </c>
      <c r="AC3" s="760"/>
      <c r="AD3" s="761"/>
      <c r="AE3" s="755" t="s">
        <v>418</v>
      </c>
      <c r="AF3" s="756"/>
      <c r="AG3" s="757"/>
      <c r="AH3" s="749" t="s">
        <v>419</v>
      </c>
      <c r="AI3" s="750"/>
      <c r="AJ3" s="751"/>
      <c r="AK3" s="752" t="s">
        <v>420</v>
      </c>
      <c r="AL3" s="753"/>
      <c r="AM3" s="754"/>
      <c r="AN3" s="733" t="s">
        <v>11</v>
      </c>
      <c r="AO3" s="733"/>
      <c r="AP3" s="733"/>
      <c r="AQ3" s="733"/>
      <c r="AR3" s="733"/>
      <c r="AS3" s="733"/>
      <c r="AT3" s="733"/>
      <c r="AU3" s="733"/>
      <c r="AV3" s="733"/>
      <c r="AW3" s="49"/>
    </row>
    <row r="4" spans="1:49" ht="141.75" customHeight="1" thickBot="1" x14ac:dyDescent="0.35">
      <c r="A4" s="207"/>
      <c r="B4" s="107" t="s">
        <v>12</v>
      </c>
      <c r="C4" s="146" t="s">
        <v>423</v>
      </c>
      <c r="D4" s="146" t="s">
        <v>13</v>
      </c>
      <c r="E4" s="146" t="s">
        <v>14</v>
      </c>
      <c r="F4" s="738"/>
      <c r="G4" s="740"/>
      <c r="H4" s="742"/>
      <c r="I4" s="742"/>
      <c r="J4" s="108" t="s">
        <v>18</v>
      </c>
      <c r="K4" s="109" t="s">
        <v>19</v>
      </c>
      <c r="L4" s="110" t="s">
        <v>20</v>
      </c>
      <c r="M4" s="111" t="s">
        <v>18</v>
      </c>
      <c r="N4" s="112" t="s">
        <v>19</v>
      </c>
      <c r="O4" s="113" t="s">
        <v>20</v>
      </c>
      <c r="P4" s="114" t="s">
        <v>18</v>
      </c>
      <c r="Q4" s="115" t="s">
        <v>19</v>
      </c>
      <c r="R4" s="116" t="s">
        <v>20</v>
      </c>
      <c r="S4" s="117" t="s">
        <v>18</v>
      </c>
      <c r="T4" s="118" t="s">
        <v>19</v>
      </c>
      <c r="U4" s="119" t="s">
        <v>20</v>
      </c>
      <c r="V4" s="120" t="s">
        <v>18</v>
      </c>
      <c r="W4" s="121" t="s">
        <v>19</v>
      </c>
      <c r="X4" s="122" t="s">
        <v>20</v>
      </c>
      <c r="Y4" s="123" t="s">
        <v>18</v>
      </c>
      <c r="Z4" s="124" t="s">
        <v>19</v>
      </c>
      <c r="AA4" s="125" t="s">
        <v>20</v>
      </c>
      <c r="AB4" s="126" t="s">
        <v>18</v>
      </c>
      <c r="AC4" s="127" t="s">
        <v>19</v>
      </c>
      <c r="AD4" s="128" t="s">
        <v>20</v>
      </c>
      <c r="AE4" s="129" t="s">
        <v>18</v>
      </c>
      <c r="AF4" s="130" t="s">
        <v>19</v>
      </c>
      <c r="AG4" s="131" t="s">
        <v>20</v>
      </c>
      <c r="AH4" s="132" t="s">
        <v>18</v>
      </c>
      <c r="AI4" s="133" t="s">
        <v>19</v>
      </c>
      <c r="AJ4" s="134" t="s">
        <v>20</v>
      </c>
      <c r="AK4" s="135" t="s">
        <v>18</v>
      </c>
      <c r="AL4" s="136" t="s">
        <v>19</v>
      </c>
      <c r="AM4" s="137" t="s">
        <v>20</v>
      </c>
      <c r="AN4" s="141" t="s">
        <v>21</v>
      </c>
      <c r="AO4" s="142" t="s">
        <v>22</v>
      </c>
      <c r="AP4" s="143" t="s">
        <v>23</v>
      </c>
      <c r="AQ4" s="144" t="s">
        <v>24</v>
      </c>
      <c r="AR4" s="145" t="s">
        <v>25</v>
      </c>
      <c r="AS4" s="144" t="s">
        <v>26</v>
      </c>
      <c r="AT4" s="143" t="s">
        <v>27</v>
      </c>
      <c r="AU4" s="142" t="s">
        <v>28</v>
      </c>
      <c r="AV4" s="142" t="s">
        <v>29</v>
      </c>
      <c r="AW4" s="49"/>
    </row>
    <row r="5" spans="1:49" ht="17.25" customHeight="1" x14ac:dyDescent="0.3">
      <c r="A5" s="207"/>
      <c r="B5" s="103"/>
      <c r="C5" s="104"/>
      <c r="D5" s="104"/>
      <c r="E5" s="104"/>
      <c r="F5" s="105" t="s">
        <v>30</v>
      </c>
      <c r="G5" s="105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6"/>
      <c r="AW5" s="49"/>
    </row>
    <row r="6" spans="1:49" ht="34.5" customHeight="1" x14ac:dyDescent="0.3">
      <c r="A6" s="207"/>
      <c r="B6" s="2"/>
      <c r="C6" s="3"/>
      <c r="D6" s="3"/>
      <c r="E6" s="3"/>
      <c r="F6" s="210" t="str">
        <f>'PLAN ST'!F6</f>
        <v>Księgowość i podatki w przedsiębiorstwie</v>
      </c>
      <c r="G6" s="4"/>
      <c r="H6" s="3"/>
      <c r="I6" s="3"/>
      <c r="J6" s="3">
        <f>SUM(Tabela_ogolne_nst[sem1.godziny],Tabela_podst_nst[sem1.godziny],Tabela_kier_nst[sem1.godziny],Tabela_SP1_nst[sem1.godziny], Tabela_do_wyboru_nst[sem1.godziny])</f>
        <v>204</v>
      </c>
      <c r="K6" s="3">
        <f>SUM(Tabela_ogolne_nst[sem1.ects],Tabela_podst_nst[sem1.ects],Tabela_kier_nst[sem1.ects],Tabela_SP1_nst[sem1.ects], Tabela_do_wyboru_nst[sem1.ects])</f>
        <v>28</v>
      </c>
      <c r="L6" s="3"/>
      <c r="M6" s="3">
        <f>SUM(Tabela_ogolne_nst[sem2.godziny],Tabela_podst_nst[sem2.godziny],Tabela_kier_nst[sem2.godziny],Tabela_SP1_nst[sem2.godziny], Tabela_do_wyboru_nst[sem2.godziny])</f>
        <v>368</v>
      </c>
      <c r="N6" s="3">
        <f>SUM(Tabela_ogolne_nst[sem2.ects],Tabela_podst_nst[sem2.ects],Tabela_kier_nst[sem2.ects],Tabela_SP1_nst[sem2.ects], Tabela_do_wyboru_nst[sem2.ects])</f>
        <v>29</v>
      </c>
      <c r="O6" s="3"/>
      <c r="P6" s="3">
        <f>SUM(Tabela_ogolne_nst[sem3.godziny],Tabela_podst_nst[sem3.godziny],Tabela_kier_nst[sem3.godziny],Tabela_SP1_nst[sem3.godziny], Tabela_do_wyboru_nst[sem3.godziny])</f>
        <v>359</v>
      </c>
      <c r="Q6" s="3">
        <f>SUM(Tabela_ogolne_nst[sem3.ects],Tabela_podst_nst[sem3.ects],Tabela_kier_nst[sem3.ects],Tabela_SP1_nst[sem3.ects], Tabela_do_wyboru_nst[sem3.ects])</f>
        <v>29</v>
      </c>
      <c r="R6" s="3"/>
      <c r="S6" s="3">
        <f>SUM(Tabela_ogolne_nst[sem4.godziny],Tabela_podst_nst[sem4.godziny],Tabela_kier_nst[sem4.godziny],Tabela_SP1_nst[sem4.godziny], Tabela_do_wyboru_nst[sem4.godziny])</f>
        <v>359</v>
      </c>
      <c r="T6" s="732">
        <f>SUM(Tabela_ogolne_nst[sem4.ects],Tabela_podst_nst[sem4.ects],Tabela_kier_nst[sem4.ects],Tabela_SP1_nst[sem4.ects], Tabela_do_wyboru_nst[sem4.ects])</f>
        <v>30</v>
      </c>
      <c r="U6" s="3"/>
      <c r="V6" s="3">
        <f>SUM(Tabela_ogolne_nst[sem5.godziny],Tabela_podst_nst[sem5.godziny],Tabela_kier_nst[sem5.godziny],Tabela_SP1_nst[sem5.godziny], Tabela_do_wyboru_nst[sem5.godziny])</f>
        <v>377</v>
      </c>
      <c r="W6" s="3">
        <f>SUM(Tabela_ogolne_nst[sem5.ects],Tabela_podst_nst[sem5.ects],Tabela_kier_nst[sem5.ects],Tabela_SP1_nst[sem5.ects], Tabela_do_wyboru_nst[sem5.ects])</f>
        <v>32</v>
      </c>
      <c r="X6" s="3"/>
      <c r="Y6" s="3">
        <f>SUM(Tabela_ogolne_nst[sem6.godziny],Tabela_podst_nst[sem6.godziny],Tabela_kier_nst[sem6.godziny],Tabela_SP1_nst[sem6.godziny], Tabela_do_wyboru_nst[sem6.godziny])</f>
        <v>376</v>
      </c>
      <c r="Z6" s="3">
        <f>SUM(Tabela_ogolne_nst[sem6.ects],Tabela_podst_nst[sem6.ects],Tabela_kier_nst[sem6.ects],Tabela_SP1_nst[sem6.ects], Tabela_do_wyboru_nst[sem6.ects])</f>
        <v>32</v>
      </c>
      <c r="AA6" s="3"/>
      <c r="AB6" s="3">
        <f>SUM(Tabela_ogolne_nst[sem7.godziny],Tabela_podst_nst[sem7.godziny],Tabela_kier_nst[sem7.godziny],Tabela_SP1_nst[sem7.godziny], Tabela_do_wyboru_nst[sem7.godziny])</f>
        <v>0</v>
      </c>
      <c r="AC6" s="3">
        <f>SUM(Tabela_ogolne_nst[sem7.ects],Tabela_podst_nst[sem7.ects],Tabela_kier_nst[sem7.ects],Tabela_SP1_nst[sem7.ects], Tabela_do_wyboru_nst[sem7.ects])</f>
        <v>0</v>
      </c>
      <c r="AD6" s="3"/>
      <c r="AE6" s="3">
        <f>SUM(Tabela_ogolne_nst[sem8.godziny],Tabela_podst_nst[sem8.godziny],Tabela_kier_nst[sem8.godziny],Tabela_SP1_nst[sem8.godziny], Tabela_do_wyboru_nst[sem8.godziny])</f>
        <v>0</v>
      </c>
      <c r="AF6" s="3">
        <f>SUM(Tabela_ogolne_nst[sem8.ects],Tabela_podst_nst[sem8.ects],Tabela_kier_nst[sem8.ects],Tabela_SP1_nst[sem8.ects], Tabela_do_wyboru_nst[sem8.ects])</f>
        <v>0</v>
      </c>
      <c r="AG6" s="3"/>
      <c r="AH6" s="3">
        <f>SUM(Tabela_ogolne_nst[sem9.godziny],Tabela_podst_nst[sem9.godziny],Tabela_kier_nst[sem9.godziny],Tabela_SP1_nst[sem9.godziny], Tabela_do_wyboru_nst[sem9.godziny])</f>
        <v>0</v>
      </c>
      <c r="AI6" s="3">
        <f>SUM(Tabela_ogolne_nst[sem9.ects],Tabela_podst_nst[sem9.ects],Tabela_kier_nst[sem9.ects],Tabela_SP1_nst[sem9.ects], Tabela_do_wyboru_nst[sem9.ects])</f>
        <v>0</v>
      </c>
      <c r="AJ6" s="3"/>
      <c r="AK6" s="3">
        <f>SUM(Tabela_ogolne_nst[sem10.godziny],Tabela_podst_nst[sem10.godziny],Tabela_kier_nst[sem10.godziny],Tabela_SP1_nst[sem10.godziny], Tabela_do_wyboru_nst[sem10.godziny])</f>
        <v>0</v>
      </c>
      <c r="AL6" s="3">
        <f>SUM(Tabela_ogolne_nst[sem10.ects],Tabela_podst_nst[sem10.ects],Tabela_kier_nst[sem10.ects],Tabela_SP1_nst[sem10.ects], Tabela_do_wyboru_nst[sem10.ects])</f>
        <v>0</v>
      </c>
      <c r="AM6" s="3"/>
      <c r="AN6" s="3">
        <f>SUM(Tabela_ogolne_nst[ects.razem],Tabela_podst_nst[ects.razem],Tabela_kier_nst[ects.razem],Tabela_SP1_nst[ects.razem], Tabela_do_wyboru_nst[ects.razem])</f>
        <v>180</v>
      </c>
      <c r="AO6" s="3">
        <f>SUM(Tabela_ogolne_nst[ects.umiej.prakt.],Tabela_podst_nst[ects.umiej.prakt.],Tabela_kier_nst[ects.umiej.prakt.],Tabela_SP1_nst[ects.umiej.prakt.], Tabela_do_wyboru_nst[ects.umiej.prakt.])</f>
        <v>134</v>
      </c>
      <c r="AP6" s="3">
        <f>SUM(Tabela_ogolne_nst[ects.bezposr.nauczyciel],Tabela_podst_nst[ects.bezposr.nauczyciel],Tabela_kier_nst[ects.bezposr.nauczyciel],Tabela_SP1_nst[ects.bezposr.nauczyciel], Tabela_do_wyboru_nst[ects.bezposr.nauczyciel])</f>
        <v>95</v>
      </c>
      <c r="AQ6" s="3">
        <f>SUM(Tabela_ogolne_nst[godziny.razem.student],Tabela_podst_nst[godziny.razem.student],Tabela_kier_nst[godziny.razem.student],Tabela_SP1_nst[godziny.razem.student], Tabela_do_wyboru_nst[godziny.razem.student])</f>
        <v>4584</v>
      </c>
      <c r="AR6" s="3">
        <f>SUM(Tabela_ogolne_nst[godziny.samoksztalcenie],Tabela_podst_nst[godziny.samoksztalcenie],Tabela_kier_nst[godziny.samoksztalcenie],Tabela_SP1_nst[godziny.samoksztalcenie], Tabela_do_wyboru_nst[godziny.samoksztalcenie])</f>
        <v>2145</v>
      </c>
      <c r="AS6" s="3">
        <f>SUM(Tabela_ogolne_nst[godziny.konsultacja],Tabela_podst_nst[godziny.konsultacja],Tabela_kier_nst[godziny.konsultacja],Tabela_SP1_nst[godziny.konsultacja], Tabela_do_wyboru_nst[godziny.konsultacja])</f>
        <v>254</v>
      </c>
      <c r="AT6" s="3">
        <f>SUM(Tabela_ogolne_nst[godziny.egzamin],Tabela_podst_nst[godziny.egzamin],Tabela_kier_nst[godziny.egzamin],Tabela_SP1_nst[godziny.egzamin], Tabela_do_wyboru_nst[godziny.egzamin])</f>
        <v>142</v>
      </c>
      <c r="AU6" s="3">
        <f>SUM(Tabela_ogolne_nst[godziny.zajec.razem],Tabela_podst_nst[godziny.zajec.razem],Tabela_kier_nst[godziny.zajec.razem],Tabela_SP1_nst[godziny.zajec.razem], Tabela_do_wyboru_nst[godziny.zajec.razem])</f>
        <v>2043</v>
      </c>
      <c r="AV6" s="76">
        <f>IF(AP6,AP6/AN6,"")</f>
        <v>0.52777777777777779</v>
      </c>
      <c r="AW6" s="49"/>
    </row>
    <row r="7" spans="1:49" ht="34.5" customHeight="1" x14ac:dyDescent="0.3">
      <c r="A7" s="207"/>
      <c r="B7" s="2"/>
      <c r="C7" s="3"/>
      <c r="D7" s="3"/>
      <c r="E7" s="3"/>
      <c r="F7" s="210" t="str">
        <f>'PLAN ST'!F7</f>
        <v>Płace i kadry</v>
      </c>
      <c r="G7" s="4"/>
      <c r="H7" s="3"/>
      <c r="I7" s="3"/>
      <c r="J7" s="3">
        <f>SUM(Tabela_ogolne_nst[sem1.godziny],Tabela_podst_nst[sem1.godziny],Tabela_kier_nst[sem1.godziny],Tabela_SP2_nst[sem1.godziny], Tabela_do_wyboru_nst[sem1.godziny])</f>
        <v>204</v>
      </c>
      <c r="K7" s="3">
        <f>SUM(Tabela_ogolne_nst[sem1.ects],Tabela_podst_nst[sem1.ects],Tabela_kier_nst[sem1.ects],Tabela_SP2_nst[sem1.ects], Tabela_do_wyboru_nst[sem1.ects])</f>
        <v>28</v>
      </c>
      <c r="L7" s="3"/>
      <c r="M7" s="3">
        <f>SUM(Tabela_ogolne_nst[sem2.godziny],Tabela_podst_nst[sem2.godziny],Tabela_kier_nst[sem2.godziny],Tabela_SP2_nst[sem2.godziny], Tabela_do_wyboru_nst[sem2.godziny])</f>
        <v>368</v>
      </c>
      <c r="N7" s="3">
        <f>SUM(Tabela_ogolne_nst[sem2.ects],Tabela_podst_nst[sem2.ects],Tabela_kier_nst[sem2.ects],Tabela_SP2_nst[sem2.ects], Tabela_do_wyboru_nst[sem2.ects])</f>
        <v>29</v>
      </c>
      <c r="O7" s="3"/>
      <c r="P7" s="3">
        <f>SUM(Tabela_ogolne_nst[sem3.godziny],Tabela_podst_nst[sem3.godziny],Tabela_kier_nst[sem3.godziny],Tabela_SP2_nst[sem3.godziny], Tabela_do_wyboru_nst[sem3.godziny])</f>
        <v>359</v>
      </c>
      <c r="Q7" s="3">
        <f>SUM(Tabela_ogolne_nst[sem3.ects],Tabela_podst_nst[sem3.ects],Tabela_kier_nst[sem3.ects],Tabela_SP2_nst[sem3.ects], Tabela_do_wyboru_nst[sem3.ects])</f>
        <v>29</v>
      </c>
      <c r="R7" s="3"/>
      <c r="S7" s="3">
        <f>SUM(Tabela_ogolne_nst[sem4.godziny],Tabela_podst_nst[sem4.godziny],Tabela_kier_nst[sem4.godziny],Tabela_SP2_nst[sem4.godziny], Tabela_do_wyboru_nst[sem4.godziny])</f>
        <v>359</v>
      </c>
      <c r="T7" s="732">
        <f>SUM(Tabela_ogolne_nst[sem4.ects],Tabela_podst_nst[sem4.ects],Tabela_kier_nst[sem4.ects],Tabela_SP2_nst[sem4.ects], Tabela_do_wyboru_nst[sem4.ects])</f>
        <v>30</v>
      </c>
      <c r="U7" s="3"/>
      <c r="V7" s="3">
        <f>SUM(Tabela_ogolne_nst[sem5.godziny],Tabela_podst_nst[sem5.godziny],Tabela_kier_nst[sem5.godziny],Tabela_SP2_nst[sem5.godziny], Tabela_do_wyboru_nst[sem5.godziny])</f>
        <v>386</v>
      </c>
      <c r="W7" s="3">
        <f>SUM(Tabela_ogolne_nst[sem5.ects],Tabela_podst_nst[sem5.ects],Tabela_kier_nst[sem5.ects],Tabela_SP2_nst[sem5.ects], Tabela_do_wyboru_nst[sem5.ects])</f>
        <v>32</v>
      </c>
      <c r="X7" s="3"/>
      <c r="Y7" s="3">
        <f>SUM(Tabela_ogolne_nst[sem6.godziny],Tabela_podst_nst[sem6.godziny],Tabela_kier_nst[sem6.godziny],Tabela_SP2_nst[sem6.godziny], Tabela_do_wyboru_nst[sem6.godziny])</f>
        <v>376</v>
      </c>
      <c r="Z7" s="3">
        <f>SUM(Tabela_ogolne_nst[sem6.ects],Tabela_podst_nst[sem6.ects],Tabela_kier_nst[sem6.ects],Tabela_SP2_nst[sem6.ects], Tabela_do_wyboru_nst[sem6.ects])</f>
        <v>32</v>
      </c>
      <c r="AA7" s="3"/>
      <c r="AB7" s="3">
        <f>SUM(Tabela_ogolne_nst[sem7.godziny],Tabela_podst_nst[sem7.godziny],Tabela_kier_nst[sem7.godziny],Tabela_SP2_nst[sem7.godziny], Tabela_do_wyboru_nst[sem7.godziny])</f>
        <v>0</v>
      </c>
      <c r="AC7" s="3">
        <f>SUM(Tabela_ogolne_nst[sem7.ects],Tabela_podst_nst[sem7.ects],Tabela_kier_nst[sem7.ects],Tabela_SP2_nst[sem7.ects], Tabela_do_wyboru_nst[sem7.ects])</f>
        <v>0</v>
      </c>
      <c r="AD7" s="3"/>
      <c r="AE7" s="3">
        <f>SUM(Tabela_ogolne_nst[sem8.godziny],Tabela_podst_nst[sem8.godziny],Tabela_kier_nst[sem8.godziny],Tabela_SP2_nst[sem8.godziny], Tabela_do_wyboru_nst[sem8.godziny])</f>
        <v>0</v>
      </c>
      <c r="AF7" s="3">
        <f>SUM(Tabela_ogolne_nst[sem8.ects],Tabela_podst_nst[sem8.ects],Tabela_kier_nst[sem8.ects],Tabela_SP2_nst[sem8.ects], Tabela_do_wyboru_nst[sem8.ects])</f>
        <v>0</v>
      </c>
      <c r="AG7" s="3"/>
      <c r="AH7" s="3">
        <f>SUM(Tabela_ogolne_nst[sem9.godziny],Tabela_podst_nst[sem9.godziny],Tabela_kier_nst[sem9.godziny],Tabela_SP2_nst[sem9.godziny], Tabela_do_wyboru_nst[sem9.godziny])</f>
        <v>0</v>
      </c>
      <c r="AI7" s="3">
        <f>SUM(Tabela_ogolne_nst[sem9.ects],Tabela_podst_nst[sem9.ects],Tabela_kier_nst[sem9.ects],Tabela_SP2_nst[sem9.ects], Tabela_do_wyboru_nst[sem9.ects])</f>
        <v>0</v>
      </c>
      <c r="AJ7" s="3"/>
      <c r="AK7" s="3">
        <f>SUM(Tabela_ogolne_nst[sem10.godziny],Tabela_podst_nst[sem10.godziny],Tabela_kier_nst[sem10.godziny],Tabela_SP2_nst[sem10.godziny], Tabela_do_wyboru_nst[sem10.godziny])</f>
        <v>0</v>
      </c>
      <c r="AL7" s="3">
        <f>SUM(Tabela_ogolne_nst[sem10.ects],Tabela_podst_nst[sem10.ects],Tabela_kier_nst[sem10.ects],Tabela_SP2_nst[sem10.ects], Tabela_do_wyboru_nst[sem10.ects])</f>
        <v>0</v>
      </c>
      <c r="AM7" s="3"/>
      <c r="AN7" s="3">
        <f>SUM(Tabela_ogolne_nst[ects.razem],Tabela_podst_nst[ects.razem],Tabela_kier_nst[ects.razem],Tabela_SP2_nst[ects.razem], Tabela_do_wyboru_nst[ects.razem])</f>
        <v>180</v>
      </c>
      <c r="AO7" s="3">
        <f>SUM(Tabela_ogolne_nst[ects.umiej.prakt.],Tabela_podst_nst[ects.umiej.prakt.],Tabela_kier_nst[ects.umiej.prakt.],Tabela_SP2_nst[ects.umiej.prakt.], Tabela_do_wyboru_nst[ects.umiej.prakt.])</f>
        <v>134</v>
      </c>
      <c r="AP7" s="3">
        <f>SUM(Tabela_ogolne_nst[ects.bezposr.nauczyciel],Tabela_podst_nst[ects.bezposr.nauczyciel],Tabela_kier_nst[ects.bezposr.nauczyciel],Tabela_SP2_nst[ects.bezposr.nauczyciel], Tabela_do_wyboru_nst[ects.bezposr.nauczyciel])</f>
        <v>95.5</v>
      </c>
      <c r="AQ7" s="3">
        <f>SUM(Tabela_ogolne_nst[godziny.razem.student],Tabela_podst_nst[godziny.razem.student],Tabela_kier_nst[godziny.razem.student],Tabela_SP2_nst[godziny.razem.student], Tabela_do_wyboru_nst[godziny.razem.student])</f>
        <v>4611</v>
      </c>
      <c r="AR7" s="3">
        <f>SUM(Tabela_ogolne_nst[godziny.samoksztalcenie],Tabela_podst_nst[godziny.samoksztalcenie],Tabela_kier_nst[godziny.samoksztalcenie],Tabela_SP2_nst[godziny.samoksztalcenie], Tabela_do_wyboru_nst[godziny.samoksztalcenie])</f>
        <v>2160</v>
      </c>
      <c r="AS7" s="3">
        <f>SUM(Tabela_ogolne_nst[godziny.konsultacja],Tabela_podst_nst[godziny.konsultacja],Tabela_kier_nst[godziny.konsultacja],Tabela_SP2_nst[godziny.konsultacja], Tabela_do_wyboru_nst[godziny.konsultacja])</f>
        <v>255</v>
      </c>
      <c r="AT7" s="3">
        <f>SUM(Tabela_ogolne_nst[godziny.egzamin],Tabela_podst_nst[godziny.egzamin],Tabela_kier_nst[godziny.egzamin],Tabela_SP2_nst[godziny.egzamin], Tabela_do_wyboru_nst[godziny.egzamin])</f>
        <v>144</v>
      </c>
      <c r="AU7" s="3">
        <f>SUM(Tabela_ogolne_nst[godziny.zajec.razem],Tabela_podst_nst[godziny.zajec.razem],Tabela_kier_nst[godziny.zajec.razem],Tabela_SP2_nst[godziny.zajec.razem], Tabela_do_wyboru_nst[godziny.zajec.razem])</f>
        <v>2052</v>
      </c>
      <c r="AV7" s="76">
        <f>IF(AP7,AP7/AN7,"")</f>
        <v>0.53055555555555556</v>
      </c>
      <c r="AW7" s="49"/>
    </row>
    <row r="8" spans="1:49" ht="34.5" customHeight="1" x14ac:dyDescent="0.3">
      <c r="A8" s="207"/>
      <c r="B8" s="2"/>
      <c r="C8" s="3"/>
      <c r="D8" s="3"/>
      <c r="E8" s="3"/>
      <c r="F8" s="210" t="str">
        <f>'PLAN ST'!F8</f>
        <v>Menedżer projektów europejskich</v>
      </c>
      <c r="G8" s="5"/>
      <c r="H8" s="3"/>
      <c r="I8" s="3"/>
      <c r="J8" s="3">
        <f>SUM(Tabela_ogolne_nst[sem1.godziny],Tabela_podst_nst[sem1.godziny],Tabela_kier_nst[sem1.godziny],Tabela_SP3_nst[sem1.godziny], Tabela_do_wyboru_nst[sem1.godziny])</f>
        <v>204</v>
      </c>
      <c r="K8" s="3">
        <f>SUM(Tabela_ogolne_nst[sem1.ects],Tabela_podst_nst[sem1.ects],Tabela_kier_nst[sem1.ects],Tabela_SP3_nst[sem1.ects], Tabela_do_wyboru_nst[sem1.ects])</f>
        <v>28</v>
      </c>
      <c r="L8" s="3"/>
      <c r="M8" s="3">
        <f>SUM(Tabela_ogolne_nst[sem2.godziny],Tabela_podst_nst[sem2.godziny],Tabela_kier_nst[sem2.godziny],Tabela_SP3_nst[sem2.godziny], Tabela_do_wyboru_nst[sem2.godziny])</f>
        <v>368</v>
      </c>
      <c r="N8" s="3">
        <f>SUM(Tabela_ogolne_nst[sem2.ects],Tabela_podst_nst[sem2.ects],Tabela_kier_nst[sem2.ects],Tabela_SP3_nst[sem2.ects], Tabela_do_wyboru_nst[sem2.ects])</f>
        <v>29</v>
      </c>
      <c r="O8" s="3"/>
      <c r="P8" s="3">
        <f>SUM(Tabela_ogolne_nst[sem3.godziny],Tabela_podst_nst[sem3.godziny],Tabela_kier_nst[sem3.godziny],Tabela_SP3_nst[sem3.godziny], Tabela_do_wyboru_nst[sem3.godziny])</f>
        <v>359</v>
      </c>
      <c r="Q8" s="3">
        <f>SUM(Tabela_ogolne_nst[sem3.ects],Tabela_podst_nst[sem3.ects],Tabela_kier_nst[sem3.ects],Tabela_SP3_nst[sem3.ects], Tabela_do_wyboru_nst[sem3.ects])</f>
        <v>29</v>
      </c>
      <c r="R8" s="3"/>
      <c r="S8" s="3">
        <f>SUM(Tabela_ogolne_nst[sem4.godziny],Tabela_podst_nst[sem4.godziny],Tabela_kier_nst[sem4.godziny],Tabela_SP3_nst[sem4.godziny], Tabela_do_wyboru_nst[sem4.godziny])</f>
        <v>350</v>
      </c>
      <c r="T8" s="3">
        <f>SUM(Tabela_ogolne_nst[sem4.ects],Tabela_podst_nst[sem4.ects],Tabela_kier_nst[sem4.ects],Tabela_SP3_nst[sem4.ects], Tabela_do_wyboru_nst[sem4.ects])</f>
        <v>29</v>
      </c>
      <c r="U8" s="3"/>
      <c r="V8" s="3">
        <f>SUM(Tabela_ogolne_nst[sem5.godziny],Tabela_podst_nst[sem5.godziny],Tabela_kier_nst[sem5.godziny],Tabela_SP3_nst[sem5.godziny], Tabela_do_wyboru_nst[sem5.godziny])</f>
        <v>386</v>
      </c>
      <c r="W8" s="3">
        <f>SUM(Tabela_ogolne_nst[sem5.ects],Tabela_podst_nst[sem5.ects],Tabela_kier_nst[sem5.ects],Tabela_SP3_nst[sem5.ects], Tabela_do_wyboru_nst[sem5.ects])</f>
        <v>33</v>
      </c>
      <c r="X8" s="3"/>
      <c r="Y8" s="3">
        <f>SUM(Tabela_ogolne_nst[sem6.godziny],Tabela_podst_nst[sem6.godziny],Tabela_kier_nst[sem6.godziny],Tabela_SP3_nst[sem6.godziny], Tabela_do_wyboru_nst[sem6.godziny])</f>
        <v>376</v>
      </c>
      <c r="Z8" s="3">
        <f>SUM(Tabela_ogolne_nst[sem6.ects],Tabela_podst_nst[sem6.ects],Tabela_kier_nst[sem6.ects],Tabela_SP3_nst[sem6.ects], Tabela_do_wyboru_nst[sem6.ects])</f>
        <v>32</v>
      </c>
      <c r="AA8" s="3"/>
      <c r="AB8" s="3">
        <f>SUM(Tabela_ogolne_nst[sem7.godziny],Tabela_podst_nst[sem7.godziny],Tabela_kier_nst[sem7.godziny],Tabela_SP3_nst[sem7.godziny], Tabela_do_wyboru_nst[sem7.godziny])</f>
        <v>0</v>
      </c>
      <c r="AC8" s="3">
        <f>SUM(Tabela_ogolne_nst[sem7.ects],Tabela_podst_nst[sem7.ects],Tabela_kier_nst[sem7.ects],Tabela_SP3_nst[sem7.ects], Tabela_do_wyboru_nst[sem7.ects])</f>
        <v>0</v>
      </c>
      <c r="AD8" s="3"/>
      <c r="AE8" s="3">
        <f>SUM(Tabela_ogolne_nst[sem8.godziny],Tabela_podst_nst[sem8.godziny],Tabela_kier_nst[sem8.godziny],Tabela_SP3_nst[sem8.godziny], Tabela_do_wyboru_nst[sem8.godziny])</f>
        <v>0</v>
      </c>
      <c r="AF8" s="3">
        <f>SUM(Tabela_ogolne_nst[sem8.ects],Tabela_podst_nst[sem8.ects],Tabela_kier_nst[sem8.ects],Tabela_SP3_nst[sem8.ects], Tabela_do_wyboru_nst[sem8.ects])</f>
        <v>0</v>
      </c>
      <c r="AG8" s="3"/>
      <c r="AH8" s="3">
        <f>SUM(Tabela_ogolne_nst[sem9.godziny],Tabela_podst_nst[sem9.godziny],Tabela_kier_nst[sem9.godziny],Tabela_SP3_nst[sem9.godziny], Tabela_do_wyboru_nst[sem9.godziny])</f>
        <v>0</v>
      </c>
      <c r="AI8" s="3">
        <f>SUM(Tabela_ogolne_nst[sem9.ects],Tabela_podst_nst[sem9.ects],Tabela_kier_nst[sem9.ects],Tabela_SP3_nst[sem9.ects], Tabela_do_wyboru_nst[sem9.ects])</f>
        <v>0</v>
      </c>
      <c r="AJ8" s="3"/>
      <c r="AK8" s="3">
        <f>SUM(Tabela_ogolne_nst[sem10.godziny],Tabela_podst_nst[sem10.godziny],Tabela_kier_nst[sem10.godziny],Tabela_SP3_nst[sem10.godziny], Tabela_do_wyboru_nst[sem10.godziny])</f>
        <v>0</v>
      </c>
      <c r="AL8" s="3">
        <f>SUM(Tabela_ogolne_nst[sem10.ects],Tabela_podst_nst[sem10.ects],Tabela_kier_nst[sem10.ects],Tabela_SP3_nst[sem10.ects], Tabela_do_wyboru_nst[sem10.ects])</f>
        <v>0</v>
      </c>
      <c r="AM8" s="3"/>
      <c r="AN8" s="3">
        <f>SUM(Tabela_ogolne_nst[ects.razem],Tabela_podst_nst[ects.razem],Tabela_kier_nst[ects.razem],Tabela_SP3_nst[ects.razem], Tabela_do_wyboru_nst[ects.razem])</f>
        <v>180</v>
      </c>
      <c r="AO8" s="3">
        <f>SUM(Tabela_ogolne_nst[ects.umiej.prakt.],Tabela_podst_nst[ects.umiej.prakt.],Tabela_kier_nst[ects.umiej.prakt.],Tabela_SP3_nst[ects.umiej.prakt.], Tabela_do_wyboru_nst[ects.umiej.prakt.])</f>
        <v>134</v>
      </c>
      <c r="AP8" s="3">
        <f>SUM(Tabela_ogolne_nst[ects.bezposr.nauczyciel],Tabela_podst_nst[ects.bezposr.nauczyciel],Tabela_kier_nst[ects.bezposr.nauczyciel],Tabela_SP3_nst[ects.bezposr.nauczyciel], Tabela_do_wyboru_nst[ects.bezposr.nauczyciel])</f>
        <v>95</v>
      </c>
      <c r="AQ8" s="3">
        <f>SUM(Tabela_ogolne_nst[godziny.razem.student],Tabela_podst_nst[godziny.razem.student],Tabela_kier_nst[godziny.razem.student],Tabela_SP3_nst[godziny.razem.student], Tabela_do_wyboru_nst[godziny.razem.student])</f>
        <v>4584</v>
      </c>
      <c r="AR8" s="3">
        <f>SUM(Tabela_ogolne_nst[godziny.samoksztalcenie],Tabela_podst_nst[godziny.samoksztalcenie],Tabela_kier_nst[godziny.samoksztalcenie],Tabela_SP3_nst[godziny.samoksztalcenie], Tabela_do_wyboru_nst[godziny.samoksztalcenie])</f>
        <v>2145</v>
      </c>
      <c r="AS8" s="3">
        <f>SUM(Tabela_ogolne_nst[godziny.konsultacja],Tabela_podst_nst[godziny.konsultacja],Tabela_kier_nst[godziny.konsultacja],Tabela_SP3_nst[godziny.konsultacja], Tabela_do_wyboru_nst[godziny.konsultacja])</f>
        <v>254</v>
      </c>
      <c r="AT8" s="3">
        <f>SUM(Tabela_ogolne_nst[godziny.egzamin],Tabela_podst_nst[godziny.egzamin],Tabela_kier_nst[godziny.egzamin],Tabela_SP3_nst[godziny.egzamin], Tabela_do_wyboru_nst[godziny.egzamin])</f>
        <v>142</v>
      </c>
      <c r="AU8" s="3">
        <f>SUM(Tabela_ogolne_nst[godziny.zajec.razem],Tabela_podst_nst[godziny.zajec.razem],Tabela_kier_nst[godziny.zajec.razem],Tabela_SP3_nst[godziny.zajec.razem], Tabela_do_wyboru_nst[godziny.zajec.razem])</f>
        <v>2043</v>
      </c>
      <c r="AV8" s="76">
        <f>IF(AP8,AP8/AN8,"")</f>
        <v>0.52777777777777779</v>
      </c>
      <c r="AW8" s="49"/>
    </row>
    <row r="9" spans="1:49" ht="34.5" hidden="1" customHeight="1" x14ac:dyDescent="0.3">
      <c r="A9" s="207"/>
      <c r="B9" s="2"/>
      <c r="C9" s="3"/>
      <c r="D9" s="3"/>
      <c r="E9" s="3"/>
      <c r="F9" s="210" t="str">
        <f>'PLAN ST'!F9</f>
        <v>SP4</v>
      </c>
      <c r="G9" s="5"/>
      <c r="H9" s="3"/>
      <c r="I9" s="3"/>
      <c r="J9" s="3">
        <f>SUM(Tabela_ogolne_nst[sem1.godziny],Tabela_podst_nst[sem1.godziny],Tabela_kier_nst[sem1.godziny],Tabela_SP4_nst[sem1.godziny], Tabela_do_wyboru_nst[sem1.godziny])</f>
        <v>204</v>
      </c>
      <c r="K9" s="3">
        <f>SUM(Tabela_ogolne_nst[sem1.ects],Tabela_podst_nst[sem1.ects],Tabela_kier_nst[sem1.ects],Tabela_SP4_nst[sem1.ects], Tabela_do_wyboru_nst[sem1.ects])</f>
        <v>28</v>
      </c>
      <c r="L9" s="3"/>
      <c r="M9" s="3">
        <f>SUM(Tabela_ogolne_nst[sem2.godziny],Tabela_podst_nst[sem2.godziny],Tabela_kier_nst[sem2.godziny],Tabela_SP4_nst[sem2.godziny], Tabela_do_wyboru_nst[sem2.godziny])</f>
        <v>368</v>
      </c>
      <c r="N9" s="3">
        <f>SUM(Tabela_ogolne_nst[sem2.ects],Tabela_podst_nst[sem2.ects],Tabela_kier_nst[sem2.ects],Tabela_SP4_nst[sem2.ects], Tabela_do_wyboru_nst[sem2.ects])</f>
        <v>29</v>
      </c>
      <c r="O9" s="3"/>
      <c r="P9" s="3">
        <f>SUM(Tabela_ogolne_nst[sem3.godziny],Tabela_podst_nst[sem3.godziny],Tabela_kier_nst[sem3.godziny],Tabela_SP4_nst[sem3.godziny], Tabela_do_wyboru_nst[sem3.godziny])</f>
        <v>359</v>
      </c>
      <c r="Q9" s="3">
        <f>SUM(Tabela_ogolne_nst[sem3.ects],Tabela_podst_nst[sem3.ects],Tabela_kier_nst[sem3.ects],Tabela_SP4_nst[sem3.ects], Tabela_do_wyboru_nst[sem3.ects])</f>
        <v>29</v>
      </c>
      <c r="R9" s="3"/>
      <c r="S9" s="3">
        <f>SUM(Tabela_ogolne_nst[sem4.godziny],Tabela_podst_nst[sem4.godziny],Tabela_kier_nst[sem4.godziny],Tabela_SP4_nst[sem4.godziny], Tabela_do_wyboru_nst[sem4.godziny])</f>
        <v>99</v>
      </c>
      <c r="T9" s="3">
        <f>SUM(Tabela_ogolne_nst[sem4.ects],Tabela_podst_nst[sem4.ects],Tabela_kier_nst[sem4.ects],Tabela_SP4_nst[sem4.ects], Tabela_do_wyboru_nst[sem4.ects])</f>
        <v>15</v>
      </c>
      <c r="U9" s="3"/>
      <c r="V9" s="3">
        <f>SUM(Tabela_ogolne_nst[sem5.godziny],Tabela_podst_nst[sem5.godziny],Tabela_kier_nst[sem5.godziny],Tabela_SP4_nst[sem5.godziny], Tabela_do_wyboru_nst[sem5.godziny])</f>
        <v>90</v>
      </c>
      <c r="W9" s="3">
        <f>SUM(Tabela_ogolne_nst[sem5.ects],Tabela_podst_nst[sem5.ects],Tabela_kier_nst[sem5.ects],Tabela_SP4_nst[sem5.ects], Tabela_do_wyboru_nst[sem5.ects])</f>
        <v>12</v>
      </c>
      <c r="X9" s="3"/>
      <c r="Y9" s="3">
        <f>SUM(Tabela_ogolne_nst[sem6.godziny],Tabela_podst_nst[sem6.godziny],Tabela_kier_nst[sem6.godziny],Tabela_SP4_nst[sem6.godziny], Tabela_do_wyboru_nst[sem6.godziny])</f>
        <v>72</v>
      </c>
      <c r="Z9" s="3">
        <f>SUM(Tabela_ogolne_nst[sem6.ects],Tabela_podst_nst[sem6.ects],Tabela_kier_nst[sem6.ects],Tabela_SP4_nst[sem6.ects], Tabela_do_wyboru_nst[sem6.ects])</f>
        <v>11</v>
      </c>
      <c r="AA9" s="3"/>
      <c r="AB9" s="3">
        <f>SUM(Tabela_ogolne_nst[sem7.godziny],Tabela_podst_nst[sem7.godziny],Tabela_kier_nst[sem7.godziny],Tabela_SP4_nst[sem7.godziny], Tabela_do_wyboru_nst[sem7.godziny])</f>
        <v>0</v>
      </c>
      <c r="AC9" s="3">
        <f>SUM(Tabela_ogolne_nst[sem7.ects],Tabela_podst_nst[sem7.ects],Tabela_kier_nst[sem7.ects],Tabela_SP4_nst[sem7.ects], Tabela_do_wyboru_nst[sem7.ects])</f>
        <v>0</v>
      </c>
      <c r="AD9" s="3"/>
      <c r="AE9" s="3">
        <f>SUM(Tabela_ogolne_nst[sem8.godziny],Tabela_podst_nst[sem8.godziny],Tabela_kier_nst[sem8.godziny],Tabela_SP4_nst[sem8.godziny], Tabela_do_wyboru_nst[sem8.godziny])</f>
        <v>0</v>
      </c>
      <c r="AF9" s="3">
        <f>SUM(Tabela_ogolne_nst[sem8.ects],Tabela_podst_nst[sem8.ects],Tabela_kier_nst[sem8.ects],Tabela_SP4_nst[sem8.ects], Tabela_do_wyboru_nst[sem8.ects])</f>
        <v>0</v>
      </c>
      <c r="AG9" s="3"/>
      <c r="AH9" s="3">
        <f>SUM(Tabela_ogolne_nst[sem9.godziny],Tabela_podst_nst[sem9.godziny],Tabela_kier_nst[sem9.godziny],Tabela_SP4_nst[sem9.godziny], Tabela_do_wyboru_nst[sem9.godziny])</f>
        <v>0</v>
      </c>
      <c r="AI9" s="3">
        <f>SUM(Tabela_ogolne_nst[sem9.ects],Tabela_podst_nst[sem9.ects],Tabela_kier_nst[sem9.ects],Tabela_SP4_nst[sem9.ects], Tabela_do_wyboru_nst[sem9.ects])</f>
        <v>0</v>
      </c>
      <c r="AJ9" s="3"/>
      <c r="AK9" s="3">
        <f>SUM(Tabela_ogolne_nst[sem10.godziny],Tabela_podst_nst[sem10.godziny],Tabela_kier_nst[sem10.godziny],Tabela_SP4_nst[sem10.godziny], Tabela_do_wyboru_nst[sem10.godziny])</f>
        <v>0</v>
      </c>
      <c r="AL9" s="3">
        <f>SUM(Tabela_ogolne_nst[sem10.ects],Tabela_podst_nst[sem10.ects],Tabela_kier_nst[sem10.ects],Tabela_SP4_nst[sem10.ects], Tabela_do_wyboru_nst[sem10.ects])</f>
        <v>0</v>
      </c>
      <c r="AM9" s="3"/>
      <c r="AN9" s="3">
        <f>SUM(Tabela_ogolne_nst[ects.razem],Tabela_podst_nst[ects.razem],Tabela_kier_nst[ects.razem],Tabela_SP4_nst[ects.razem], Tabela_do_wyboru_nst[ects.razem])</f>
        <v>124</v>
      </c>
      <c r="AO9" s="3">
        <f>SUM(Tabela_ogolne_nst[ects.umiej.prakt.],Tabela_podst_nst[ects.umiej.prakt.],Tabela_kier_nst[ects.umiej.prakt.],Tabela_SP4_nst[ects.umiej.prakt.], Tabela_do_wyboru_nst[ects.umiej.prakt.])</f>
        <v>78</v>
      </c>
      <c r="AP9" s="3">
        <f>SUM(Tabela_ogolne_nst[ects.bezposr.nauczyciel],Tabela_podst_nst[ects.bezposr.nauczyciel],Tabela_kier_nst[ects.bezposr.nauczyciel],Tabela_SP4_nst[ects.bezposr.nauczyciel], Tabela_do_wyboru_nst[ects.bezposr.nauczyciel])</f>
        <v>57</v>
      </c>
      <c r="AQ9" s="3">
        <f>SUM(Tabela_ogolne_nst[godziny.razem.student],Tabela_podst_nst[godziny.razem.student],Tabela_kier_nst[godziny.razem.student],Tabela_SP4_nst[godziny.razem.student], Tabela_do_wyboru_nst[godziny.razem.student])</f>
        <v>2922</v>
      </c>
      <c r="AR9" s="3">
        <f>SUM(Tabela_ogolne_nst[godziny.samoksztalcenie],Tabela_podst_nst[godziny.samoksztalcenie],Tabela_kier_nst[godziny.samoksztalcenie],Tabela_SP4_nst[godziny.samoksztalcenie], Tabela_do_wyboru_nst[godziny.samoksztalcenie])</f>
        <v>1462</v>
      </c>
      <c r="AS9" s="3">
        <f>SUM(Tabela_ogolne_nst[godziny.konsultacja],Tabela_podst_nst[godziny.konsultacja],Tabela_kier_nst[godziny.konsultacja],Tabela_SP4_nst[godziny.konsultacja], Tabela_do_wyboru_nst[godziny.konsultacja])</f>
        <v>158</v>
      </c>
      <c r="AT9" s="3">
        <f>SUM(Tabela_ogolne_nst[godziny.egzamin],Tabela_podst_nst[godziny.egzamin],Tabela_kier_nst[godziny.egzamin],Tabela_SP4_nst[godziny.egzamin], Tabela_do_wyboru_nst[godziny.egzamin])</f>
        <v>110</v>
      </c>
      <c r="AU9" s="3">
        <f>SUM(Tabela_ogolne_nst[godziny.zajec.razem],Tabela_podst_nst[godziny.zajec.razem],Tabela_kier_nst[godziny.zajec.razem],Tabela_SP4_nst[godziny.zajec.razem], Tabela_do_wyboru_nst[godziny.zajec.razem])</f>
        <v>1192</v>
      </c>
      <c r="AV9" s="76">
        <f>IF(AP9,AP9/AN9,"")</f>
        <v>0.45967741935483869</v>
      </c>
      <c r="AW9" s="49"/>
    </row>
    <row r="10" spans="1:49" ht="34.5" hidden="1" customHeight="1" x14ac:dyDescent="0.3">
      <c r="A10" s="207"/>
      <c r="B10" s="2"/>
      <c r="C10" s="3"/>
      <c r="D10" s="3"/>
      <c r="E10" s="3"/>
      <c r="F10" s="210" t="str">
        <f>'PLAN ST'!F10</f>
        <v>SP5</v>
      </c>
      <c r="G10" s="5"/>
      <c r="H10" s="3"/>
      <c r="I10" s="3"/>
      <c r="J10" s="3">
        <f>SUM(Tabela_ogolne_nst[sem1.godziny],Tabela_podst_nst[sem1.godziny],Tabela_kier_nst[sem1.godziny],Tabela_SP5_nst[sem1.godziny], Tabela_do_wyboru_nst[sem1.godziny])</f>
        <v>204</v>
      </c>
      <c r="K10" s="3">
        <f>SUM(Tabela_ogolne_nst[sem1.ects],Tabela_podst_nst[sem1.ects],Tabela_kier_nst[sem1.ects],Tabela_SP5_nst[sem1.ects], Tabela_do_wyboru_nst[sem1.ects])</f>
        <v>28</v>
      </c>
      <c r="L10" s="3"/>
      <c r="M10" s="3">
        <f>SUM(Tabela_ogolne_nst[sem2.godziny],Tabela_podst_nst[sem2.godziny],Tabela_kier_nst[sem2.godziny],Tabela_SP5_nst[sem2.godziny], Tabela_do_wyboru_nst[sem2.godziny])</f>
        <v>368</v>
      </c>
      <c r="N10" s="3">
        <f>SUM(Tabela_ogolne_nst[sem2.ects],Tabela_podst_nst[sem2.ects],Tabela_kier_nst[sem2.ects],Tabela_SP5_nst[sem2.ects], Tabela_do_wyboru_nst[sem2.ects])</f>
        <v>29</v>
      </c>
      <c r="O10" s="3"/>
      <c r="P10" s="3">
        <f>SUM(Tabela_ogolne_nst[sem3.godziny],Tabela_podst_nst[sem3.godziny],Tabela_kier_nst[sem3.godziny],Tabela_SP5_nst[sem3.godziny], Tabela_do_wyboru_nst[sem3.godziny])</f>
        <v>359</v>
      </c>
      <c r="Q10" s="3">
        <f>SUM(Tabela_ogolne_nst[sem3.ects],Tabela_podst_nst[sem3.ects],Tabela_kier_nst[sem3.ects],Tabela_SP5_nst[sem3.ects], Tabela_do_wyboru_nst[sem3.ects])</f>
        <v>29</v>
      </c>
      <c r="R10" s="3"/>
      <c r="S10" s="3">
        <f>SUM(Tabela_ogolne_nst[sem4.godziny],Tabela_podst_nst[sem4.godziny],Tabela_kier_nst[sem4.godziny],Tabela_SP5_nst[sem4.godziny], Tabela_do_wyboru_nst[sem4.godziny])</f>
        <v>99</v>
      </c>
      <c r="T10" s="3">
        <f>SUM(Tabela_ogolne_nst[sem4.ects],Tabela_podst_nst[sem4.ects],Tabela_kier_nst[sem4.ects],Tabela_SP5_nst[sem4.ects], Tabela_do_wyboru_nst[sem4.ects])</f>
        <v>15</v>
      </c>
      <c r="U10" s="3"/>
      <c r="V10" s="3">
        <f>SUM(Tabela_ogolne_nst[sem5.godziny],Tabela_podst_nst[sem5.godziny],Tabela_kier_nst[sem5.godziny],Tabela_SP5_nst[sem5.godziny], Tabela_do_wyboru_nst[sem5.godziny])</f>
        <v>90</v>
      </c>
      <c r="W10" s="3">
        <f>SUM(Tabela_ogolne_nst[sem5.ects],Tabela_podst_nst[sem5.ects],Tabela_kier_nst[sem5.ects],Tabela_SP5_nst[sem5.ects], Tabela_do_wyboru_nst[sem5.ects])</f>
        <v>12</v>
      </c>
      <c r="X10" s="3"/>
      <c r="Y10" s="3">
        <f>SUM(Tabela_ogolne_nst[sem6.godziny],Tabela_podst_nst[sem6.godziny],Tabela_kier_nst[sem6.godziny],Tabela_SP5_nst[sem6.godziny], Tabela_do_wyboru_nst[sem6.godziny])</f>
        <v>72</v>
      </c>
      <c r="Z10" s="3">
        <f>SUM(Tabela_ogolne_nst[sem6.ects],Tabela_podst_nst[sem6.ects],Tabela_kier_nst[sem6.ects],Tabela_SP5_nst[sem6.ects], Tabela_do_wyboru_nst[sem6.ects])</f>
        <v>11</v>
      </c>
      <c r="AA10" s="3"/>
      <c r="AB10" s="3">
        <f>SUM(Tabela_ogolne_nst[sem7.godziny],Tabela_podst_nst[sem7.godziny],Tabela_kier_nst[sem7.godziny],Tabela_SP5_nst[sem7.godziny], Tabela_do_wyboru_nst[sem7.godziny])</f>
        <v>0</v>
      </c>
      <c r="AC10" s="3">
        <f>SUM(Tabela_ogolne_nst[sem7.ects],Tabela_podst_nst[sem7.ects],Tabela_kier_nst[sem7.ects],Tabela_SP5_nst[sem7.ects], Tabela_do_wyboru_nst[sem7.ects])</f>
        <v>0</v>
      </c>
      <c r="AD10" s="3"/>
      <c r="AE10" s="3">
        <f>SUM(Tabela_ogolne_nst[sem8.godziny],Tabela_podst_nst[sem8.godziny],Tabela_kier_nst[sem8.godziny],Tabela_SP5_nst[sem8.godziny], Tabela_do_wyboru_nst[sem8.godziny])</f>
        <v>0</v>
      </c>
      <c r="AF10" s="3">
        <f>SUM(Tabela_ogolne_nst[sem8.ects],Tabela_podst_nst[sem8.ects],Tabela_kier_nst[sem8.ects],Tabela_SP5_nst[sem8.ects], Tabela_do_wyboru_nst[sem8.ects])</f>
        <v>0</v>
      </c>
      <c r="AG10" s="3"/>
      <c r="AH10" s="3">
        <f>SUM(Tabela_ogolne_nst[sem9.godziny],Tabela_podst_nst[sem9.godziny],Tabela_kier_nst[sem9.godziny],Tabela_SP5_nst[sem9.godziny], Tabela_do_wyboru_nst[sem9.godziny])</f>
        <v>0</v>
      </c>
      <c r="AI10" s="3">
        <f>SUM(Tabela_ogolne_nst[sem9.ects],Tabela_podst_nst[sem9.ects],Tabela_kier_nst[sem9.ects],Tabela_SP5_nst[sem9.ects], Tabela_do_wyboru_nst[sem9.ects])</f>
        <v>0</v>
      </c>
      <c r="AJ10" s="3"/>
      <c r="AK10" s="3">
        <f>SUM(Tabela_ogolne_nst[sem10.godziny],Tabela_podst_nst[sem10.godziny],Tabela_kier_nst[sem10.godziny],Tabela_SP5_nst[sem10.godziny], Tabela_do_wyboru_nst[sem10.godziny])</f>
        <v>0</v>
      </c>
      <c r="AL10" s="3">
        <f>SUM(Tabela_ogolne_nst[sem10.ects],Tabela_podst_nst[sem10.ects],Tabela_kier_nst[sem10.ects],Tabela_SP5_nst[sem10.ects], Tabela_do_wyboru_nst[sem10.ects])</f>
        <v>0</v>
      </c>
      <c r="AM10" s="3"/>
      <c r="AN10" s="3">
        <f>SUM(Tabela_ogolne_nst[ects.razem],Tabela_podst_nst[ects.razem],Tabela_kier_nst[ects.razem],Tabela_SP5_nst[ects.razem], Tabela_do_wyboru_nst[ects.razem])</f>
        <v>124</v>
      </c>
      <c r="AO10" s="3">
        <f>SUM(Tabela_ogolne_nst[ects.umiej.prakt.],Tabela_podst_nst[ects.umiej.prakt.],Tabela_kier_nst[ects.umiej.prakt.],Tabela_SP5_nst[ects.umiej.prakt.], Tabela_do_wyboru_nst[ects.umiej.prakt.])</f>
        <v>78</v>
      </c>
      <c r="AP10" s="3">
        <f>SUM(Tabela_ogolne_nst[ects.bezposr.nauczyciel],Tabela_podst_nst[ects.bezposr.nauczyciel],Tabela_kier_nst[ects.bezposr.nauczyciel],Tabela_SP5_nst[ects.bezposr.nauczyciel], Tabela_do_wyboru_nst[ects.bezposr.nauczyciel])</f>
        <v>57</v>
      </c>
      <c r="AQ10" s="3">
        <f>SUM(Tabela_ogolne_nst[godziny.razem.student],Tabela_podst_nst[godziny.razem.student],Tabela_kier_nst[godziny.razem.student],Tabela_SP5_nst[godziny.razem.student], Tabela_do_wyboru_nst[godziny.razem.student])</f>
        <v>2922</v>
      </c>
      <c r="AR10" s="3">
        <f>SUM(Tabela_ogolne_nst[godziny.samoksztalcenie],Tabela_podst_nst[godziny.samoksztalcenie],Tabela_kier_nst[godziny.samoksztalcenie],Tabela_SP5_nst[godziny.samoksztalcenie], Tabela_do_wyboru_nst[godziny.samoksztalcenie])</f>
        <v>1462</v>
      </c>
      <c r="AS10" s="3">
        <f>SUM(Tabela_ogolne_nst[godziny.konsultacja],Tabela_podst_nst[godziny.konsultacja],Tabela_kier_nst[godziny.konsultacja],Tabela_SP5_nst[godziny.konsultacja], Tabela_do_wyboru_nst[godziny.konsultacja])</f>
        <v>158</v>
      </c>
      <c r="AT10" s="3">
        <f>SUM(Tabela_ogolne_nst[godziny.egzamin],Tabela_podst_nst[godziny.egzamin],Tabela_kier_nst[godziny.egzamin],Tabela_SP5_nst[godziny.egzamin], Tabela_do_wyboru_nst[godziny.egzamin])</f>
        <v>110</v>
      </c>
      <c r="AU10" s="3">
        <f>SUM(Tabela_ogolne_nst[godziny.zajec.razem],Tabela_podst_nst[godziny.zajec.razem],Tabela_kier_nst[godziny.zajec.razem],Tabela_SP5_nst[godziny.zajec.razem], Tabela_do_wyboru_nst[godziny.zajec.razem])</f>
        <v>1192</v>
      </c>
      <c r="AV10" s="76">
        <f>IF(AP10,AP10/AN10,"")</f>
        <v>0.45967741935483869</v>
      </c>
      <c r="AW10" s="49"/>
    </row>
    <row r="11" spans="1:49" ht="7.5" customHeight="1" thickBot="1" x14ac:dyDescent="0.35">
      <c r="A11" s="207"/>
      <c r="B11" s="350"/>
      <c r="C11" s="351"/>
      <c r="D11" s="351"/>
      <c r="E11" s="351"/>
      <c r="F11" s="352"/>
      <c r="G11" s="352"/>
      <c r="H11" s="351"/>
      <c r="I11" s="351"/>
      <c r="J11" s="351"/>
      <c r="K11" s="353"/>
      <c r="L11" s="351"/>
      <c r="M11" s="351"/>
      <c r="N11" s="353"/>
      <c r="O11" s="351"/>
      <c r="P11" s="351"/>
      <c r="Q11" s="353"/>
      <c r="R11" s="351"/>
      <c r="S11" s="351"/>
      <c r="T11" s="351"/>
      <c r="U11" s="351"/>
      <c r="V11" s="351"/>
      <c r="W11" s="351"/>
      <c r="X11" s="351"/>
      <c r="Y11" s="351"/>
      <c r="Z11" s="351"/>
      <c r="AA11" s="351"/>
      <c r="AB11" s="351"/>
      <c r="AC11" s="351"/>
      <c r="AD11" s="351"/>
      <c r="AE11" s="351"/>
      <c r="AF11" s="351"/>
      <c r="AG11" s="351"/>
      <c r="AH11" s="351"/>
      <c r="AI11" s="351"/>
      <c r="AJ11" s="351"/>
      <c r="AK11" s="351"/>
      <c r="AL11" s="351"/>
      <c r="AM11" s="351"/>
      <c r="AN11" s="351"/>
      <c r="AO11" s="351"/>
      <c r="AP11" s="351"/>
      <c r="AQ11" s="351"/>
      <c r="AR11" s="351"/>
      <c r="AS11" s="351"/>
      <c r="AT11" s="351"/>
      <c r="AU11" s="351"/>
      <c r="AV11" s="351"/>
      <c r="AW11" s="49"/>
    </row>
    <row r="12" spans="1:49" ht="25.5" customHeight="1" thickBot="1" x14ac:dyDescent="0.35">
      <c r="A12" s="207"/>
      <c r="B12" s="784" t="str">
        <f>'PLAN ST'!B12</f>
        <v>A1. PRZYGOTOWANIE MERYTORYCZNE DO NAUCZANIA PIERWSZEGO PRZEDMIOTU LUB PROWADZENIA PIERWSZYCH ZAJĘĆ</v>
      </c>
      <c r="C12" s="785"/>
      <c r="D12" s="785"/>
      <c r="E12" s="785"/>
      <c r="F12" s="785"/>
      <c r="G12" s="785"/>
      <c r="H12" s="785"/>
      <c r="I12" s="785"/>
      <c r="J12" s="785"/>
      <c r="K12" s="785"/>
      <c r="L12" s="194"/>
      <c r="M12" s="194"/>
      <c r="N12" s="194"/>
      <c r="O12" s="194"/>
      <c r="P12" s="194"/>
      <c r="Q12" s="194"/>
      <c r="R12" s="194"/>
      <c r="S12" s="194"/>
      <c r="T12" s="194"/>
      <c r="U12" s="194"/>
      <c r="V12" s="194"/>
      <c r="W12" s="194"/>
      <c r="X12" s="194"/>
      <c r="Y12" s="194"/>
      <c r="Z12" s="194"/>
      <c r="AA12" s="194"/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  <c r="AR12" s="194"/>
      <c r="AS12" s="194"/>
      <c r="AT12" s="194"/>
      <c r="AU12" s="194"/>
      <c r="AV12" s="195"/>
      <c r="AW12" s="49"/>
    </row>
    <row r="13" spans="1:49" ht="7.5" customHeight="1" thickBot="1" x14ac:dyDescent="0.35">
      <c r="A13" s="207"/>
      <c r="B13" s="347"/>
      <c r="C13" s="348"/>
      <c r="D13" s="348"/>
      <c r="E13" s="348"/>
      <c r="F13" s="349"/>
      <c r="G13" s="349"/>
      <c r="H13" s="348"/>
      <c r="I13" s="348"/>
      <c r="J13" s="348"/>
      <c r="K13" s="354"/>
      <c r="L13" s="348"/>
      <c r="M13" s="348"/>
      <c r="N13" s="354"/>
      <c r="O13" s="348"/>
      <c r="P13" s="348"/>
      <c r="Q13" s="354"/>
      <c r="R13" s="348"/>
      <c r="S13" s="348"/>
      <c r="T13" s="348"/>
      <c r="U13" s="348"/>
      <c r="V13" s="348"/>
      <c r="W13" s="348"/>
      <c r="X13" s="348"/>
      <c r="Y13" s="348"/>
      <c r="Z13" s="348"/>
      <c r="AA13" s="348"/>
      <c r="AB13" s="348"/>
      <c r="AC13" s="348"/>
      <c r="AD13" s="348"/>
      <c r="AE13" s="348"/>
      <c r="AF13" s="348"/>
      <c r="AG13" s="348"/>
      <c r="AH13" s="348"/>
      <c r="AI13" s="348"/>
      <c r="AJ13" s="348"/>
      <c r="AK13" s="348"/>
      <c r="AL13" s="348"/>
      <c r="AM13" s="348"/>
      <c r="AN13" s="348"/>
      <c r="AO13" s="348"/>
      <c r="AP13" s="348"/>
      <c r="AQ13" s="348"/>
      <c r="AR13" s="348"/>
      <c r="AS13" s="348"/>
      <c r="AT13" s="348"/>
      <c r="AU13" s="348"/>
      <c r="AV13" s="348"/>
      <c r="AW13" s="49"/>
    </row>
    <row r="14" spans="1:49" ht="19.5" customHeight="1" thickBot="1" x14ac:dyDescent="0.35">
      <c r="A14" s="207"/>
      <c r="B14" s="784" t="str">
        <f>'PLAN ST'!B14</f>
        <v>PRZEDMIOTY OGÓLNOUCZELNIANE</v>
      </c>
      <c r="C14" s="785"/>
      <c r="D14" s="785"/>
      <c r="E14" s="785"/>
      <c r="F14" s="785"/>
      <c r="G14" s="785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5"/>
      <c r="AW14" s="49"/>
    </row>
    <row r="15" spans="1:49" ht="25.5" customHeight="1" thickBot="1" x14ac:dyDescent="0.35">
      <c r="A15" s="207"/>
      <c r="B15" s="790" t="str">
        <f>'PLAN ST'!B15</f>
        <v>RAZEM W GRUPIE PRZEDMIOTÓW OGÓLNOUCZELNIANYCH</v>
      </c>
      <c r="C15" s="791"/>
      <c r="D15" s="791"/>
      <c r="E15" s="791"/>
      <c r="F15" s="791"/>
      <c r="G15" s="791"/>
      <c r="H15" s="791"/>
      <c r="I15" s="791"/>
      <c r="J15" s="98">
        <f>SUM(Tabela_ogolne_nst[sem1.godziny])</f>
        <v>42</v>
      </c>
      <c r="K15" s="98">
        <f>SUM(Tabela_ogolne_nst[sem1.ects])</f>
        <v>3</v>
      </c>
      <c r="L15" s="98"/>
      <c r="M15" s="98">
        <f>SUM(Tabela_ogolne_nst[sem2.godziny])</f>
        <v>36</v>
      </c>
      <c r="N15" s="98">
        <f>SUM(Tabela_ogolne_nst[sem2.ects])</f>
        <v>3</v>
      </c>
      <c r="O15" s="98"/>
      <c r="P15" s="98">
        <f>SUM(Tabela_ogolne_nst[sem3.godziny])</f>
        <v>36</v>
      </c>
      <c r="Q15" s="98">
        <f>SUM(Tabela_ogolne_nst[sem3.ects])</f>
        <v>3</v>
      </c>
      <c r="R15" s="98"/>
      <c r="S15" s="98">
        <f>SUM(Tabela_ogolne_nst[sem4.godziny])</f>
        <v>18</v>
      </c>
      <c r="T15" s="98">
        <f>SUM(Tabela_ogolne_nst[sem4.ects])</f>
        <v>3</v>
      </c>
      <c r="U15" s="98"/>
      <c r="V15" s="98">
        <f>SUM(Tabela_ogolne_nst[sem5.godziny])</f>
        <v>18</v>
      </c>
      <c r="W15" s="98">
        <f>SUM(Tabela_ogolne_nst[sem5.ects])</f>
        <v>2</v>
      </c>
      <c r="X15" s="98"/>
      <c r="Y15" s="98">
        <f>SUM(Tabela_ogolne_nst[sem6.godziny])</f>
        <v>0</v>
      </c>
      <c r="Z15" s="98">
        <f>SUM(Tabela_ogolne_nst[sem6.ects])</f>
        <v>0</v>
      </c>
      <c r="AA15" s="98"/>
      <c r="AB15" s="98">
        <f>SUM(Tabela_ogolne_nst[sem7.godziny])</f>
        <v>0</v>
      </c>
      <c r="AC15" s="98">
        <f>SUM(Tabela_ogolne_nst[sem7.ects])</f>
        <v>0</v>
      </c>
      <c r="AD15" s="98"/>
      <c r="AE15" s="98">
        <f>SUM(Tabela_ogolne_nst[sem8.godziny])</f>
        <v>0</v>
      </c>
      <c r="AF15" s="98">
        <f>SUM(Tabela_ogolne_nst[sem8.ects])</f>
        <v>0</v>
      </c>
      <c r="AG15" s="98"/>
      <c r="AH15" s="98">
        <f>SUM(Tabela_ogolne_nst[sem9.godziny])</f>
        <v>0</v>
      </c>
      <c r="AI15" s="98">
        <f>SUM(Tabela_ogolne_nst[sem9.ects])</f>
        <v>0</v>
      </c>
      <c r="AJ15" s="98"/>
      <c r="AK15" s="98">
        <f>SUM(Tabela_ogolne_nst[sem10.godziny])</f>
        <v>0</v>
      </c>
      <c r="AL15" s="98">
        <f>SUM(Tabela_ogolne_nst[sem10.ects])</f>
        <v>0</v>
      </c>
      <c r="AM15" s="98"/>
      <c r="AN15" s="98">
        <f>SUM(Tabela_ogolne_nst[ects.razem])</f>
        <v>14</v>
      </c>
      <c r="AO15" s="98">
        <f>SUM(Tabela_ogolne_nst[ects.umiej.prakt.])</f>
        <v>13</v>
      </c>
      <c r="AP15" s="98">
        <f>SUM(Tabela_ogolne_nst[ects.bezposr.nauczyciel])</f>
        <v>5</v>
      </c>
      <c r="AQ15" s="98">
        <f>SUM(Tabela_ogolne_nst[godziny.razem.student])</f>
        <v>420</v>
      </c>
      <c r="AR15" s="98">
        <f>SUM(Tabela_ogolne_nst[godziny.samoksztalcenie])</f>
        <v>229</v>
      </c>
      <c r="AS15" s="98">
        <f>SUM(Tabela_ogolne_nst[godziny.konsultacja])</f>
        <v>21</v>
      </c>
      <c r="AT15" s="98">
        <f>SUM(Tabela_ogolne_nst[godziny.egzamin])</f>
        <v>20</v>
      </c>
      <c r="AU15" s="98">
        <f>SUM(Tabela_ogolne_nst[godziny.zajec.razem])</f>
        <v>150</v>
      </c>
      <c r="AV15" s="6"/>
      <c r="AW15" s="49"/>
    </row>
    <row r="16" spans="1:49" ht="25.5" hidden="1" customHeight="1" x14ac:dyDescent="0.3">
      <c r="A16" s="207"/>
      <c r="B16" s="147" t="s">
        <v>374</v>
      </c>
      <c r="C16" s="148" t="s">
        <v>373</v>
      </c>
      <c r="D16" s="148" t="s">
        <v>372</v>
      </c>
      <c r="E16" s="148" t="s">
        <v>371</v>
      </c>
      <c r="F16" s="305" t="s">
        <v>368</v>
      </c>
      <c r="G16" s="306" t="s">
        <v>369</v>
      </c>
      <c r="H16" s="149" t="s">
        <v>370</v>
      </c>
      <c r="I16" s="150" t="s">
        <v>375</v>
      </c>
      <c r="J16" s="80" t="s">
        <v>376</v>
      </c>
      <c r="K16" s="80" t="s">
        <v>377</v>
      </c>
      <c r="L16" s="80" t="s">
        <v>378</v>
      </c>
      <c r="M16" s="81" t="s">
        <v>379</v>
      </c>
      <c r="N16" s="81" t="s">
        <v>380</v>
      </c>
      <c r="O16" s="81" t="s">
        <v>381</v>
      </c>
      <c r="P16" s="151" t="s">
        <v>382</v>
      </c>
      <c r="Q16" s="82" t="s">
        <v>383</v>
      </c>
      <c r="R16" s="151" t="s">
        <v>384</v>
      </c>
      <c r="S16" s="83" t="s">
        <v>385</v>
      </c>
      <c r="T16" s="83" t="s">
        <v>386</v>
      </c>
      <c r="U16" s="83" t="s">
        <v>387</v>
      </c>
      <c r="V16" s="84" t="s">
        <v>388</v>
      </c>
      <c r="W16" s="84" t="s">
        <v>389</v>
      </c>
      <c r="X16" s="84" t="s">
        <v>390</v>
      </c>
      <c r="Y16" s="85" t="s">
        <v>391</v>
      </c>
      <c r="Z16" s="85" t="s">
        <v>392</v>
      </c>
      <c r="AA16" s="85" t="s">
        <v>393</v>
      </c>
      <c r="AB16" s="86" t="s">
        <v>394</v>
      </c>
      <c r="AC16" s="86" t="s">
        <v>395</v>
      </c>
      <c r="AD16" s="86" t="s">
        <v>396</v>
      </c>
      <c r="AE16" s="201" t="s">
        <v>409</v>
      </c>
      <c r="AF16" s="201" t="s">
        <v>410</v>
      </c>
      <c r="AG16" s="201" t="s">
        <v>411</v>
      </c>
      <c r="AH16" s="202" t="s">
        <v>412</v>
      </c>
      <c r="AI16" s="202" t="s">
        <v>413</v>
      </c>
      <c r="AJ16" s="202" t="s">
        <v>414</v>
      </c>
      <c r="AK16" s="203" t="s">
        <v>415</v>
      </c>
      <c r="AL16" s="203" t="s">
        <v>416</v>
      </c>
      <c r="AM16" s="203" t="s">
        <v>417</v>
      </c>
      <c r="AN16" s="87" t="s">
        <v>397</v>
      </c>
      <c r="AO16" s="88" t="s">
        <v>398</v>
      </c>
      <c r="AP16" s="89" t="s">
        <v>399</v>
      </c>
      <c r="AQ16" s="211" t="s">
        <v>400</v>
      </c>
      <c r="AR16" s="90" t="s">
        <v>401</v>
      </c>
      <c r="AS16" s="91" t="s">
        <v>402</v>
      </c>
      <c r="AT16" s="80" t="s">
        <v>403</v>
      </c>
      <c r="AU16" s="92" t="s">
        <v>404</v>
      </c>
      <c r="AV16" s="212" t="s">
        <v>405</v>
      </c>
      <c r="AW16" s="49"/>
    </row>
    <row r="17" spans="1:49" ht="25.5" customHeight="1" x14ac:dyDescent="0.3">
      <c r="A17" s="207"/>
      <c r="B17" s="307" t="str">
        <f>IF(Tabela_ogolne[[#This Row],[kod.isced]]&lt;&gt;"",Tabela_ogolne[[#This Row],[kod.isced]],"")</f>
        <v>0011</v>
      </c>
      <c r="C17" s="193">
        <f>IF(Tabela_ogolne[[#This Row],[kod.dziedziny]]&lt;&gt;"",Tabela_ogolne[[#This Row],[kod.dziedziny]],"")</f>
        <v>104</v>
      </c>
      <c r="D17" s="193" t="str">
        <f>IF(Tabela_ogolne[[#This Row],[Modul]]&lt;&gt;"",Tabela_ogolne[[#This Row],[Modul]],"")</f>
        <v>ou.01.1</v>
      </c>
      <c r="E17" s="193" t="str">
        <f>IF(Tabela_ogolne[[#This Row],[Umiej.prakt.]]&lt;&gt;"",Tabela_ogolne[[#This Row],[Umiej.prakt.]],"")</f>
        <v>up</v>
      </c>
      <c r="F17" s="308" t="str">
        <f>IF(Tabela_ogolne[[#This Row],[Nazwa przedmiotu]]&lt;&gt;"",Tabela_ogolne[[#This Row],[Nazwa przedmiotu]],"")</f>
        <v>Zaawansowana wypowiedź akademicka</v>
      </c>
      <c r="G17" s="309" t="str">
        <f>IF(Tabela_ogolne[[#This Row],[Prowadzacy]]&lt;&gt;"",Tabela_ogolne[[#This Row],[Prowadzacy]],"")</f>
        <v/>
      </c>
      <c r="H17" s="155" t="str">
        <f>IF(Tabela_ogolne[[#This Row],[Forma]]&lt;&gt;"",Tabela_ogolne[[#This Row],[Forma]],"")</f>
        <v>konwersatorium</v>
      </c>
      <c r="I17" s="156" t="str">
        <f>IF(Tabela_ogolne[[#This Row],[czy.ects]]&lt;&gt;"",Tabela_ogolne[[#This Row],[czy.ects]],"")</f>
        <v>TAK</v>
      </c>
      <c r="J17" s="356">
        <f>IF(Tabela_ogolne[[#This Row],[sem1.godziny]]&lt;&gt;"",IF(Tabela_ogolne[[#This Row],[sem1.godziny]]&gt;14,Tabela_ogolne[[#This Row],[sem1.godziny]]*0.6,Tabela_ogolne[[#This Row],[sem1.godziny]]),"")</f>
        <v>9</v>
      </c>
      <c r="K17" s="356" cm="1">
        <f t="array" ref="K17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>1</v>
      </c>
      <c r="L17" s="356" t="str">
        <f>IF(Tabela_ogolne[[#This Row],[sem1.forma]]&lt;&gt;"",Tabela_ogolne[[#This Row],[sem1.forma]],"")</f>
        <v>z</v>
      </c>
      <c r="M17" s="357" t="str">
        <f>IF(Tabela_ogolne[[#This Row],[sem2.godziny]]&lt;&gt;"",IF(Tabela_ogolne[[#This Row],[sem2.godziny]]&gt;14,Tabela_ogolne[[#This Row],[sem2.godziny]]*0.6,Tabela_ogolne[[#This Row],[sem2.godziny]]),"")</f>
        <v/>
      </c>
      <c r="N17" s="357" t="str" cm="1">
        <f t="array" ref="N17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17" s="357" t="str">
        <f>IF(Tabela_ogolne[[#This Row],[sem2.forma]]&lt;&gt;"",Tabela_ogolne[[#This Row],[sem2.forma]],"")</f>
        <v/>
      </c>
      <c r="P17" s="358" t="str">
        <f>IF(Tabela_ogolne[[#This Row],[sem3.godziny]]&lt;&gt;"",IF(Tabela_ogolne[[#This Row],[sem3.godziny]]&gt;14,Tabela_ogolne[[#This Row],[sem3.godziny]]*0.6,Tabela_ogolne[[#This Row],[sem3.godziny]]),"")</f>
        <v/>
      </c>
      <c r="Q17" s="359" t="str" cm="1">
        <f t="array" ref="Q17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17" s="358" t="str">
        <f>IF(Tabela_ogolne[[#This Row],[sem3.forma]]&lt;&gt;"",Tabela_ogolne[[#This Row],[sem3.forma]],"")</f>
        <v/>
      </c>
      <c r="S17" s="355" t="str">
        <f>IF(Tabela_ogolne[[#This Row],[sem4.godziny]]&lt;&gt;"",IF(Tabela_ogolne[[#This Row],[sem4.godziny]]&gt;14,Tabela_ogolne[[#This Row],[sem4.godziny]]*0.6,Tabela_ogolne[[#This Row],[sem4.godziny]]),"")</f>
        <v/>
      </c>
      <c r="T17" s="355" t="str" cm="1">
        <f t="array" ref="T17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17" s="355" t="str">
        <f>IF(Tabela_ogolne[[#This Row],[sem4.forma]]&lt;&gt;"",Tabela_ogolne[[#This Row],[sem4.forma]],"")</f>
        <v/>
      </c>
      <c r="V17" s="180" t="str">
        <f>IF(Tabela_ogolne[[#This Row],[sem5.godziny]]&lt;&gt;"",IF(Tabela_ogolne[[#This Row],[sem5.godziny]]&gt;14,Tabela_ogolne[[#This Row],[sem5.godziny]]*0.6,Tabela_ogolne[[#This Row],[sem5.godziny]]),"")</f>
        <v/>
      </c>
      <c r="W17" s="180" t="str" cm="1">
        <f t="array" ref="W17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17" s="180" t="str">
        <f>IF(Tabela_ogolne[[#This Row],[sem5.forma]]&lt;&gt;"",Tabela_ogolne[[#This Row],[sem5.forma]],"")</f>
        <v/>
      </c>
      <c r="Y17" s="181" t="str">
        <f>IF(Tabela_ogolne[[#This Row],[sem6.godziny]]&lt;&gt;"",IF(Tabela_ogolne[[#This Row],[sem6.godziny]]&gt;14,Tabela_ogolne[[#This Row],[sem6.godziny]]*0.6,Tabela_ogolne[[#This Row],[sem6.godziny]]),"")</f>
        <v/>
      </c>
      <c r="Z17" s="181" t="str" cm="1">
        <f t="array" ref="Z17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17" s="181" t="str">
        <f>IF(Tabela_ogolne[[#This Row],[sem6.forma]]&lt;&gt;"",Tabela_ogolne[[#This Row],[sem6.forma]],"")</f>
        <v/>
      </c>
      <c r="AB17" s="182" t="str">
        <f>IF(Tabela_ogolne[[#This Row],[sem7.godziny]]&lt;&gt;"",IF(Tabela_ogolne[[#This Row],[sem7.godziny]]&gt;14,Tabela_ogolne[[#This Row],[sem7.godziny]]*0.6,Tabela_ogolne[[#This Row],[sem7.godziny]]),"")</f>
        <v/>
      </c>
      <c r="AC17" s="182" t="str" cm="1">
        <f t="array" ref="AC17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17" s="182" t="str">
        <f>IF(Tabela_ogolne[[#This Row],[sem7.forma]]&lt;&gt;"",Tabela_ogolne[[#This Row],[sem7.forma]],"")</f>
        <v/>
      </c>
      <c r="AE17" s="183" t="str">
        <f>IF(Tabela_ogolne[[#This Row],[sem8.godziny]]&lt;&gt;"",IF(Tabela_ogolne[[#This Row],[sem8.godziny]]&gt;14,Tabela_ogolne[[#This Row],[sem8.godziny]]*0.6,Tabela_ogolne[[#This Row],[sem8.godziny]]),"")</f>
        <v/>
      </c>
      <c r="AF17" s="183" t="str" cm="1">
        <f t="array" ref="AF17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17" s="183" t="str">
        <f>IF(Tabela_ogolne[[#This Row],[sem8.forma]]&lt;&gt;"",Tabela_ogolne[[#This Row],[sem8.forma]],"")</f>
        <v/>
      </c>
      <c r="AH17" s="184" t="str">
        <f>IF(Tabela_ogolne[[#This Row],[sem9.godziny]]&lt;&gt;"",IF(Tabela_ogolne[[#This Row],[sem9.godziny]]&gt;14,Tabela_ogolne[[#This Row],[sem9.godziny]]*0.6,Tabela_ogolne[[#This Row],[sem9.godziny]]),"")</f>
        <v/>
      </c>
      <c r="AI17" s="184" t="str" cm="1">
        <f t="array" ref="AI17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17" s="184" t="str">
        <f>IF(Tabela_ogolne[[#This Row],[sem9.forma]]&lt;&gt;"",Tabela_ogolne[[#This Row],[sem9.forma]],"")</f>
        <v/>
      </c>
      <c r="AK17" s="185" t="str">
        <f>IF(Tabela_ogolne[[#This Row],[sem10.godziny]]&lt;&gt;"",IF(Tabela_ogolne[[#This Row],[sem10.godziny]]&gt;14,Tabela_ogolne[[#This Row],[sem10.godziny]]*0.6,Tabela_ogolne[[#This Row],[sem10.godziny]]),"")</f>
        <v/>
      </c>
      <c r="AL17" s="185" t="str" cm="1">
        <f t="array" ref="AL17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17" s="185" t="str">
        <f>IF(Tabela_ogolne[[#This Row],[sem10.forma]]&lt;&gt;"",Tabela_ogolne[[#This Row],[sem10.forma]],"")</f>
        <v/>
      </c>
      <c r="AN17" s="186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1</v>
      </c>
      <c r="AO17" s="187">
        <f>IF(ISERR(SEARCH("UP",Tabela_ogolne_nst[[#This Row],[Umiej.prakt.]],1)),0,Tabela_ogolne_nst[[#This Row],[ects.razem]])</f>
        <v>1</v>
      </c>
      <c r="AP17" s="188">
        <f>IF(Tabela_ogolne_nst[[#This Row],[czy.ects]]="TAK",ROUND((SUM(Tabela_ogolne_nst[[#This Row],[godziny.konsultacja]],Tabela_ogolne_nst[[#This Row],[godziny.egzamin]],Tabela_ogolne_nst[[#This Row],[godziny.zajec.razem]])/25)/0.5,0)*0.5,0)</f>
        <v>0.5</v>
      </c>
      <c r="AQ17" s="310">
        <f>SUM(Tabela_ogolne_nst[[#This Row],[godziny.samoksztalcenie]],Tabela_ogolne_nst[[#This Row],[godziny.konsultacja]],Tabela_ogolne_nst[[#This Row],[godziny.egzamin]],Tabela_ogolne_nst[[#This Row],[godziny.zajec.razem]])</f>
        <v>27</v>
      </c>
      <c r="AR17" s="311">
        <f>Tabela_ogolne[[#This Row],[godziny.samoksztalcenie]]+(Tabela_ogolne[[#This Row],[godziny.zajec.razem]]-Tabela_ogolne_nst[[#This Row],[godziny.zajec.razem]])</f>
        <v>15</v>
      </c>
      <c r="AS17" s="189">
        <f>Tabela_ogolne[[#This Row],[godziny.konsultacja]]</f>
        <v>1</v>
      </c>
      <c r="AT17" s="179">
        <f>Tabela_ogolne[[#This Row],[godziny.egzamin]]</f>
        <v>2</v>
      </c>
      <c r="AU17" s="190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9</v>
      </c>
      <c r="AV17" s="312">
        <f>IF(Tabela_ogolne_nst[[#This Row],[ects.bezposr.nauczyciel]],Tabela_ogolne_nst[[#This Row],[ects.bezposr.nauczyciel]]/Tabela_ogolne_nst[[#This Row],[ects.razem]],0)</f>
        <v>0.5</v>
      </c>
      <c r="AW17" s="49"/>
    </row>
    <row r="18" spans="1:49" ht="25.5" customHeight="1" x14ac:dyDescent="0.3">
      <c r="A18" s="207"/>
      <c r="B18" s="436" t="str">
        <f>IF(Tabela_ogolne[[#This Row],[kod.isced]]&lt;&gt;"",Tabela_ogolne[[#This Row],[kod.isced]],"")</f>
        <v>0011</v>
      </c>
      <c r="C18" s="437">
        <f>IF(Tabela_ogolne[[#This Row],[kod.dziedziny]]&lt;&gt;"",Tabela_ogolne[[#This Row],[kod.dziedziny]],"")</f>
        <v>506</v>
      </c>
      <c r="D18" s="437" t="str">
        <f>IF(Tabela_ogolne[[#This Row],[Modul]]&lt;&gt;"",Tabela_ogolne[[#This Row],[Modul]],"")</f>
        <v>ou.02.1</v>
      </c>
      <c r="E18" s="437" t="str">
        <f>IF(Tabela_ogolne[[#This Row],[Umiej.prakt.]]&lt;&gt;"",Tabela_ogolne[[#This Row],[Umiej.prakt.]],"")</f>
        <v/>
      </c>
      <c r="F18" s="438" t="str">
        <f>IF(Tabela_ogolne[[#This Row],[Nazwa przedmiotu]]&lt;&gt;"",Tabela_ogolne[[#This Row],[Nazwa przedmiotu]],"")</f>
        <v>Przysposobienie akademickie</v>
      </c>
      <c r="G18" s="439" t="str">
        <f>IF(Tabela_ogolne[[#This Row],[Prowadzacy]]&lt;&gt;"",Tabela_ogolne[[#This Row],[Prowadzacy]],"")</f>
        <v/>
      </c>
      <c r="H18" s="440" t="str">
        <f>IF(Tabela_ogolne[[#This Row],[Forma]]&lt;&gt;"",Tabela_ogolne[[#This Row],[Forma]],"")</f>
        <v>konwersatorium</v>
      </c>
      <c r="I18" s="441" t="str">
        <f>IF(Tabela_ogolne[[#This Row],[czy.ects]]&lt;&gt;"",Tabela_ogolne[[#This Row],[czy.ects]],"")</f>
        <v>NIE</v>
      </c>
      <c r="J18" s="369">
        <f>IF(Tabela_ogolne[[#This Row],[sem1.godziny]]&lt;&gt;"",IF(Tabela_ogolne[[#This Row],[sem1.godziny]]&gt;14,Tabela_ogolne[[#This Row],[sem1.godziny]]*0.6,Tabela_ogolne[[#This Row],[sem1.godziny]]),"")</f>
        <v>5</v>
      </c>
      <c r="K18" s="369" t="str" cm="1">
        <f t="array" ref="K18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/>
      </c>
      <c r="L18" s="369" t="str">
        <f>IF(Tabela_ogolne[[#This Row],[sem1.forma]]&lt;&gt;"",Tabela_ogolne[[#This Row],[sem1.forma]],"")</f>
        <v>b</v>
      </c>
      <c r="M18" s="371" t="str">
        <f>IF(Tabela_ogolne[[#This Row],[sem2.godziny]]&lt;&gt;"",IF(Tabela_ogolne[[#This Row],[sem2.godziny]]&gt;14,Tabela_ogolne[[#This Row],[sem2.godziny]]*0.6,Tabela_ogolne[[#This Row],[sem2.godziny]]),"")</f>
        <v/>
      </c>
      <c r="N18" s="371" t="str" cm="1">
        <f t="array" ref="N18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18" s="371" t="str">
        <f>IF(Tabela_ogolne[[#This Row],[sem2.forma]]&lt;&gt;"",Tabela_ogolne[[#This Row],[sem2.forma]],"")</f>
        <v/>
      </c>
      <c r="P18" s="677" t="str">
        <f>IF(Tabela_ogolne[[#This Row],[sem3.godziny]]&lt;&gt;"",IF(Tabela_ogolne[[#This Row],[sem3.godziny]]&gt;14,Tabela_ogolne[[#This Row],[sem3.godziny]]*0.6,Tabela_ogolne[[#This Row],[sem3.godziny]]),"")</f>
        <v/>
      </c>
      <c r="Q18" s="373" t="str" cm="1">
        <f t="array" ref="Q18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18" s="677" t="str">
        <f>IF(Tabela_ogolne[[#This Row],[sem3.forma]]&lt;&gt;"",Tabela_ogolne[[#This Row],[sem3.forma]],"")</f>
        <v/>
      </c>
      <c r="S18" s="375" t="str">
        <f>IF(Tabela_ogolne[[#This Row],[sem4.godziny]]&lt;&gt;"",IF(Tabela_ogolne[[#This Row],[sem4.godziny]]&gt;14,Tabela_ogolne[[#This Row],[sem4.godziny]]*0.6,Tabela_ogolne[[#This Row],[sem4.godziny]]),"")</f>
        <v/>
      </c>
      <c r="T18" s="375" t="str" cm="1">
        <f t="array" ref="T18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18" s="375" t="str">
        <f>IF(Tabela_ogolne[[#This Row],[sem4.forma]]&lt;&gt;"",Tabela_ogolne[[#This Row],[sem4.forma]],"")</f>
        <v/>
      </c>
      <c r="V18" s="445" t="str">
        <f>IF(Tabela_ogolne[[#This Row],[sem5.godziny]]&lt;&gt;"",IF(Tabela_ogolne[[#This Row],[sem5.godziny]]&gt;14,Tabela_ogolne[[#This Row],[sem5.godziny]]*0.6,Tabela_ogolne[[#This Row],[sem5.godziny]]),"")</f>
        <v/>
      </c>
      <c r="W18" s="445" t="str" cm="1">
        <f t="array" ref="W18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18" s="445" t="str">
        <f>IF(Tabela_ogolne[[#This Row],[sem5.forma]]&lt;&gt;"",Tabela_ogolne[[#This Row],[sem5.forma]],"")</f>
        <v/>
      </c>
      <c r="Y18" s="446" t="str">
        <f>IF(Tabela_ogolne[[#This Row],[sem6.godziny]]&lt;&gt;"",IF(Tabela_ogolne[[#This Row],[sem6.godziny]]&gt;14,Tabela_ogolne[[#This Row],[sem6.godziny]]*0.6,Tabela_ogolne[[#This Row],[sem6.godziny]]),"")</f>
        <v/>
      </c>
      <c r="Z18" s="446" t="str" cm="1">
        <f t="array" ref="Z18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18" s="446" t="str">
        <f>IF(Tabela_ogolne[[#This Row],[sem6.forma]]&lt;&gt;"",Tabela_ogolne[[#This Row],[sem6.forma]],"")</f>
        <v/>
      </c>
      <c r="AB18" s="678" t="str">
        <f>IF(Tabela_ogolne[[#This Row],[sem7.godziny]]&lt;&gt;"",IF(Tabela_ogolne[[#This Row],[sem7.godziny]]&gt;14,Tabela_ogolne[[#This Row],[sem7.godziny]]*0.6,Tabela_ogolne[[#This Row],[sem7.godziny]]),"")</f>
        <v/>
      </c>
      <c r="AC18" s="678" t="str" cm="1">
        <f t="array" ref="AC18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18" s="678" t="str">
        <f>IF(Tabela_ogolne[[#This Row],[sem7.forma]]&lt;&gt;"",Tabela_ogolne[[#This Row],[sem7.forma]],"")</f>
        <v/>
      </c>
      <c r="AE18" s="679" t="str">
        <f>IF(Tabela_ogolne[[#This Row],[sem8.godziny]]&lt;&gt;"",IF(Tabela_ogolne[[#This Row],[sem8.godziny]]&gt;14,Tabela_ogolne[[#This Row],[sem8.godziny]]*0.6,Tabela_ogolne[[#This Row],[sem8.godziny]]),"")</f>
        <v/>
      </c>
      <c r="AF18" s="679" t="str" cm="1">
        <f t="array" ref="AF18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18" s="679" t="str">
        <f>IF(Tabela_ogolne[[#This Row],[sem8.forma]]&lt;&gt;"",Tabela_ogolne[[#This Row],[sem8.forma]],"")</f>
        <v/>
      </c>
      <c r="AH18" s="680" t="str">
        <f>IF(Tabela_ogolne[[#This Row],[sem9.godziny]]&lt;&gt;"",IF(Tabela_ogolne[[#This Row],[sem9.godziny]]&gt;14,Tabela_ogolne[[#This Row],[sem9.godziny]]*0.6,Tabela_ogolne[[#This Row],[sem9.godziny]]),"")</f>
        <v/>
      </c>
      <c r="AI18" s="680" t="str" cm="1">
        <f t="array" ref="AI18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18" s="680" t="str">
        <f>IF(Tabela_ogolne[[#This Row],[sem9.forma]]&lt;&gt;"",Tabela_ogolne[[#This Row],[sem9.forma]],"")</f>
        <v/>
      </c>
      <c r="AK18" s="681" t="str">
        <f>IF(Tabela_ogolne[[#This Row],[sem10.godziny]]&lt;&gt;"",IF(Tabela_ogolne[[#This Row],[sem10.godziny]]&gt;14,Tabela_ogolne[[#This Row],[sem10.godziny]]*0.6,Tabela_ogolne[[#This Row],[sem10.godziny]]),"")</f>
        <v/>
      </c>
      <c r="AL18" s="681" t="str" cm="1">
        <f t="array" ref="AL18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18" s="681" t="str">
        <f>IF(Tabela_ogolne[[#This Row],[sem10.forma]]&lt;&gt;"",Tabela_ogolne[[#This Row],[sem10.forma]],"")</f>
        <v/>
      </c>
      <c r="AN18" s="447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0</v>
      </c>
      <c r="AO18" s="449">
        <f>IF(ISERR(SEARCH("UP",Tabela_ogolne_nst[[#This Row],[Umiej.prakt.]],1)),0,Tabela_ogolne_nst[[#This Row],[ects.razem]])</f>
        <v>0</v>
      </c>
      <c r="AP18" s="450">
        <f>IF(Tabela_ogolne_nst[[#This Row],[czy.ects]]="TAK",ROUND((SUM(Tabela_ogolne_nst[[#This Row],[godziny.konsultacja]],Tabela_ogolne_nst[[#This Row],[godziny.egzamin]],Tabela_ogolne_nst[[#This Row],[godziny.zajec.razem]])/25)/0.5,0)*0.5,0)</f>
        <v>0</v>
      </c>
      <c r="AQ18" s="451">
        <f>SUM(Tabela_ogolne_nst[[#This Row],[godziny.samoksztalcenie]],Tabela_ogolne_nst[[#This Row],[godziny.konsultacja]],Tabela_ogolne_nst[[#This Row],[godziny.egzamin]],Tabela_ogolne_nst[[#This Row],[godziny.zajec.razem]])</f>
        <v>10</v>
      </c>
      <c r="AR18" s="452">
        <f>Tabela_ogolne[[#This Row],[godziny.samoksztalcenie]]+(Tabela_ogolne[[#This Row],[godziny.zajec.razem]]-Tabela_ogolne_nst[[#This Row],[godziny.zajec.razem]])</f>
        <v>3</v>
      </c>
      <c r="AS18" s="453">
        <f>Tabela_ogolne[[#This Row],[godziny.konsultacja]]</f>
        <v>0</v>
      </c>
      <c r="AT18" s="369">
        <f>Tabela_ogolne[[#This Row],[godziny.egzamin]]</f>
        <v>2</v>
      </c>
      <c r="AU18" s="454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5</v>
      </c>
      <c r="AV18" s="682">
        <f>IF(Tabela_ogolne_nst[[#This Row],[ects.bezposr.nauczyciel]],Tabela_ogolne_nst[[#This Row],[ects.bezposr.nauczyciel]]/Tabela_ogolne_nst[[#This Row],[ects.razem]],0)</f>
        <v>0</v>
      </c>
      <c r="AW18" s="49"/>
    </row>
    <row r="19" spans="1:49" ht="25.5" customHeight="1" x14ac:dyDescent="0.3">
      <c r="A19" s="207"/>
      <c r="B19" s="436" t="str">
        <f>IF(Tabela_ogolne[[#This Row],[kod.isced]]&lt;&gt;"",Tabela_ogolne[[#This Row],[kod.isced]],"")</f>
        <v>0611</v>
      </c>
      <c r="C19" s="437">
        <f>IF(Tabela_ogolne[[#This Row],[kod.dziedziny]]&lt;&gt;"",Tabela_ogolne[[#This Row],[kod.dziedziny]],"")</f>
        <v>203</v>
      </c>
      <c r="D19" s="437" t="str">
        <f>IF(Tabela_ogolne[[#This Row],[Modul]]&lt;&gt;"",Tabela_ogolne[[#This Row],[Modul]],"")</f>
        <v>ou.03.1</v>
      </c>
      <c r="E19" s="437" t="str">
        <f>IF(Tabela_ogolne[[#This Row],[Umiej.prakt.]]&lt;&gt;"",Tabela_ogolne[[#This Row],[Umiej.prakt.]],"")</f>
        <v>up</v>
      </c>
      <c r="F19" s="438" t="str">
        <f>IF(Tabela_ogolne[[#This Row],[Nazwa przedmiotu]]&lt;&gt;"",Tabela_ogolne[[#This Row],[Nazwa przedmiotu]],"")</f>
        <v>Technologie informacyjne</v>
      </c>
      <c r="G19" s="439" t="str">
        <f>IF(Tabela_ogolne[[#This Row],[Prowadzacy]]&lt;&gt;"",Tabela_ogolne[[#This Row],[Prowadzacy]],"")</f>
        <v/>
      </c>
      <c r="H19" s="440" t="str">
        <f>IF(Tabela_ogolne[[#This Row],[Forma]]&lt;&gt;"",Tabela_ogolne[[#This Row],[Forma]],"")</f>
        <v>ćwiczenia</v>
      </c>
      <c r="I19" s="441" t="str">
        <f>IF(Tabela_ogolne[[#This Row],[czy.ects]]&lt;&gt;"",Tabela_ogolne[[#This Row],[czy.ects]],"")</f>
        <v>TAK</v>
      </c>
      <c r="J19" s="369">
        <f>IF(Tabela_ogolne[[#This Row],[sem1.godziny]]&lt;&gt;"",IF(Tabela_ogolne[[#This Row],[sem1.godziny]]&gt;14,Tabela_ogolne[[#This Row],[sem1.godziny]]*0.6,Tabela_ogolne[[#This Row],[sem1.godziny]]),"")</f>
        <v>9</v>
      </c>
      <c r="K19" s="369" cm="1">
        <f t="array" ref="K19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>1</v>
      </c>
      <c r="L19" s="369" t="str">
        <f>IF(Tabela_ogolne[[#This Row],[sem1.forma]]&lt;&gt;"",Tabela_ogolne[[#This Row],[sem1.forma]],"")</f>
        <v>z</v>
      </c>
      <c r="M19" s="371" t="str">
        <f>IF(Tabela_ogolne[[#This Row],[sem2.godziny]]&lt;&gt;"",IF(Tabela_ogolne[[#This Row],[sem2.godziny]]&gt;14,Tabela_ogolne[[#This Row],[sem2.godziny]]*0.6,Tabela_ogolne[[#This Row],[sem2.godziny]]),"")</f>
        <v/>
      </c>
      <c r="N19" s="371" t="str" cm="1">
        <f t="array" ref="N19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19" s="371" t="str">
        <f>IF(Tabela_ogolne[[#This Row],[sem2.forma]]&lt;&gt;"",Tabela_ogolne[[#This Row],[sem2.forma]],"")</f>
        <v/>
      </c>
      <c r="P19" s="677" t="str">
        <f>IF(Tabela_ogolne[[#This Row],[sem3.godziny]]&lt;&gt;"",IF(Tabela_ogolne[[#This Row],[sem3.godziny]]&gt;14,Tabela_ogolne[[#This Row],[sem3.godziny]]*0.6,Tabela_ogolne[[#This Row],[sem3.godziny]]),"")</f>
        <v/>
      </c>
      <c r="Q19" s="373" t="str" cm="1">
        <f t="array" ref="Q19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19" s="677" t="str">
        <f>IF(Tabela_ogolne[[#This Row],[sem3.forma]]&lt;&gt;"",Tabela_ogolne[[#This Row],[sem3.forma]],"")</f>
        <v/>
      </c>
      <c r="S19" s="375" t="str">
        <f>IF(Tabela_ogolne[[#This Row],[sem4.godziny]]&lt;&gt;"",IF(Tabela_ogolne[[#This Row],[sem4.godziny]]&gt;14,Tabela_ogolne[[#This Row],[sem4.godziny]]*0.6,Tabela_ogolne[[#This Row],[sem4.godziny]]),"")</f>
        <v/>
      </c>
      <c r="T19" s="375" t="str" cm="1">
        <f t="array" ref="T19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19" s="375" t="str">
        <f>IF(Tabela_ogolne[[#This Row],[sem4.forma]]&lt;&gt;"",Tabela_ogolne[[#This Row],[sem4.forma]],"")</f>
        <v/>
      </c>
      <c r="V19" s="445" t="str">
        <f>IF(Tabela_ogolne[[#This Row],[sem5.godziny]]&lt;&gt;"",IF(Tabela_ogolne[[#This Row],[sem5.godziny]]&gt;14,Tabela_ogolne[[#This Row],[sem5.godziny]]*0.6,Tabela_ogolne[[#This Row],[sem5.godziny]]),"")</f>
        <v/>
      </c>
      <c r="W19" s="445" t="str" cm="1">
        <f t="array" ref="W19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19" s="445" t="str">
        <f>IF(Tabela_ogolne[[#This Row],[sem5.forma]]&lt;&gt;"",Tabela_ogolne[[#This Row],[sem5.forma]],"")</f>
        <v/>
      </c>
      <c r="Y19" s="446" t="str">
        <f>IF(Tabela_ogolne[[#This Row],[sem6.godziny]]&lt;&gt;"",IF(Tabela_ogolne[[#This Row],[sem6.godziny]]&gt;14,Tabela_ogolne[[#This Row],[sem6.godziny]]*0.6,Tabela_ogolne[[#This Row],[sem6.godziny]]),"")</f>
        <v/>
      </c>
      <c r="Z19" s="446" t="str" cm="1">
        <f t="array" ref="Z19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19" s="446" t="str">
        <f>IF(Tabela_ogolne[[#This Row],[sem6.forma]]&lt;&gt;"",Tabela_ogolne[[#This Row],[sem6.forma]],"")</f>
        <v/>
      </c>
      <c r="AB19" s="678" t="str">
        <f>IF(Tabela_ogolne[[#This Row],[sem7.godziny]]&lt;&gt;"",IF(Tabela_ogolne[[#This Row],[sem7.godziny]]&gt;14,Tabela_ogolne[[#This Row],[sem7.godziny]]*0.6,Tabela_ogolne[[#This Row],[sem7.godziny]]),"")</f>
        <v/>
      </c>
      <c r="AC19" s="678" t="str" cm="1">
        <f t="array" ref="AC19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19" s="678" t="str">
        <f>IF(Tabela_ogolne[[#This Row],[sem7.forma]]&lt;&gt;"",Tabela_ogolne[[#This Row],[sem7.forma]],"")</f>
        <v/>
      </c>
      <c r="AE19" s="679" t="str">
        <f>IF(Tabela_ogolne[[#This Row],[sem8.godziny]]&lt;&gt;"",IF(Tabela_ogolne[[#This Row],[sem8.godziny]]&gt;14,Tabela_ogolne[[#This Row],[sem8.godziny]]*0.6,Tabela_ogolne[[#This Row],[sem8.godziny]]),"")</f>
        <v/>
      </c>
      <c r="AF19" s="679" t="str" cm="1">
        <f t="array" ref="AF19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19" s="679" t="str">
        <f>IF(Tabela_ogolne[[#This Row],[sem8.forma]]&lt;&gt;"",Tabela_ogolne[[#This Row],[sem8.forma]],"")</f>
        <v/>
      </c>
      <c r="AH19" s="680" t="str">
        <f>IF(Tabela_ogolne[[#This Row],[sem9.godziny]]&lt;&gt;"",IF(Tabela_ogolne[[#This Row],[sem9.godziny]]&gt;14,Tabela_ogolne[[#This Row],[sem9.godziny]]*0.6,Tabela_ogolne[[#This Row],[sem9.godziny]]),"")</f>
        <v/>
      </c>
      <c r="AI19" s="680" t="str" cm="1">
        <f t="array" ref="AI19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19" s="680" t="str">
        <f>IF(Tabela_ogolne[[#This Row],[sem9.forma]]&lt;&gt;"",Tabela_ogolne[[#This Row],[sem9.forma]],"")</f>
        <v/>
      </c>
      <c r="AK19" s="681" t="str">
        <f>IF(Tabela_ogolne[[#This Row],[sem10.godziny]]&lt;&gt;"",IF(Tabela_ogolne[[#This Row],[sem10.godziny]]&gt;14,Tabela_ogolne[[#This Row],[sem10.godziny]]*0.6,Tabela_ogolne[[#This Row],[sem10.godziny]]),"")</f>
        <v/>
      </c>
      <c r="AL19" s="681" t="str" cm="1">
        <f t="array" ref="AL19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19" s="681" t="str">
        <f>IF(Tabela_ogolne[[#This Row],[sem10.forma]]&lt;&gt;"",Tabela_ogolne[[#This Row],[sem10.forma]],"")</f>
        <v/>
      </c>
      <c r="AN19" s="447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1</v>
      </c>
      <c r="AO19" s="449">
        <f>IF(ISERR(SEARCH("UP",Tabela_ogolne_nst[[#This Row],[Umiej.prakt.]],1)),0,Tabela_ogolne_nst[[#This Row],[ects.razem]])</f>
        <v>1</v>
      </c>
      <c r="AP19" s="450">
        <f>IF(Tabela_ogolne_nst[[#This Row],[czy.ects]]="TAK",ROUND((SUM(Tabela_ogolne_nst[[#This Row],[godziny.konsultacja]],Tabela_ogolne_nst[[#This Row],[godziny.egzamin]],Tabela_ogolne_nst[[#This Row],[godziny.zajec.razem]])/25)/0.5,0)*0.5,0)</f>
        <v>0.5</v>
      </c>
      <c r="AQ19" s="451">
        <f>SUM(Tabela_ogolne_nst[[#This Row],[godziny.samoksztalcenie]],Tabela_ogolne_nst[[#This Row],[godziny.konsultacja]],Tabela_ogolne_nst[[#This Row],[godziny.egzamin]],Tabela_ogolne_nst[[#This Row],[godziny.zajec.razem]])</f>
        <v>27</v>
      </c>
      <c r="AR19" s="452">
        <f>Tabela_ogolne[[#This Row],[godziny.samoksztalcenie]]+(Tabela_ogolne[[#This Row],[godziny.zajec.razem]]-Tabela_ogolne_nst[[#This Row],[godziny.zajec.razem]])</f>
        <v>15</v>
      </c>
      <c r="AS19" s="453">
        <f>Tabela_ogolne[[#This Row],[godziny.konsultacja]]</f>
        <v>1</v>
      </c>
      <c r="AT19" s="369">
        <f>Tabela_ogolne[[#This Row],[godziny.egzamin]]</f>
        <v>2</v>
      </c>
      <c r="AU19" s="454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9</v>
      </c>
      <c r="AV19" s="682">
        <f>IF(Tabela_ogolne_nst[[#This Row],[ects.bezposr.nauczyciel]],Tabela_ogolne_nst[[#This Row],[ects.bezposr.nauczyciel]]/Tabela_ogolne_nst[[#This Row],[ects.razem]],0)</f>
        <v>0.5</v>
      </c>
      <c r="AW19" s="49"/>
    </row>
    <row r="20" spans="1:49" ht="25.5" customHeight="1" x14ac:dyDescent="0.3">
      <c r="A20" s="207"/>
      <c r="B20" s="436" t="str">
        <f>IF(Tabela_ogolne[[#This Row],[kod.isced]]&lt;&gt;"",Tabela_ogolne[[#This Row],[kod.isced]],"")</f>
        <v>0421</v>
      </c>
      <c r="C20" s="437">
        <f>IF(Tabela_ogolne[[#This Row],[kod.dziedziny]]&lt;&gt;"",Tabela_ogolne[[#This Row],[kod.dziedziny]],"")</f>
        <v>507</v>
      </c>
      <c r="D20" s="437" t="str">
        <f>IF(Tabela_ogolne[[#This Row],[Modul]]&lt;&gt;"",Tabela_ogolne[[#This Row],[Modul]],"")</f>
        <v>ou.04.1</v>
      </c>
      <c r="E20" s="437" t="str">
        <f>IF(Tabela_ogolne[[#This Row],[Umiej.prakt.]]&lt;&gt;"",Tabela_ogolne[[#This Row],[Umiej.prakt.]],"")</f>
        <v/>
      </c>
      <c r="F20" s="438" t="str">
        <f>IF(Tabela_ogolne[[#This Row],[Nazwa przedmiotu]]&lt;&gt;"",Tabela_ogolne[[#This Row],[Nazwa przedmiotu]],"")</f>
        <v>Ochrona własności intelektualnej</v>
      </c>
      <c r="G20" s="439" t="str">
        <f>IF(Tabela_ogolne[[#This Row],[Prowadzacy]]&lt;&gt;"",Tabela_ogolne[[#This Row],[Prowadzacy]],"")</f>
        <v/>
      </c>
      <c r="H20" s="440" t="str">
        <f>IF(Tabela_ogolne[[#This Row],[Forma]]&lt;&gt;"",Tabela_ogolne[[#This Row],[Forma]],"")</f>
        <v>konwersatorium</v>
      </c>
      <c r="I20" s="441" t="str">
        <f>IF(Tabela_ogolne[[#This Row],[czy.ects]]&lt;&gt;"",Tabela_ogolne[[#This Row],[czy.ects]],"")</f>
        <v>TAK</v>
      </c>
      <c r="J20" s="369">
        <f>IF(Tabela_ogolne[[#This Row],[sem1.godziny]]&lt;&gt;"",IF(Tabela_ogolne[[#This Row],[sem1.godziny]]&gt;14,Tabela_ogolne[[#This Row],[sem1.godziny]]*0.6,Tabela_ogolne[[#This Row],[sem1.godziny]]),"")</f>
        <v>9</v>
      </c>
      <c r="K20" s="369" cm="1">
        <f t="array" ref="K20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>1</v>
      </c>
      <c r="L20" s="369" t="str">
        <f>IF(Tabela_ogolne[[#This Row],[sem1.forma]]&lt;&gt;"",Tabela_ogolne[[#This Row],[sem1.forma]],"")</f>
        <v>z</v>
      </c>
      <c r="M20" s="371" t="str">
        <f>IF(Tabela_ogolne[[#This Row],[sem2.godziny]]&lt;&gt;"",IF(Tabela_ogolne[[#This Row],[sem2.godziny]]&gt;14,Tabela_ogolne[[#This Row],[sem2.godziny]]*0.6,Tabela_ogolne[[#This Row],[sem2.godziny]]),"")</f>
        <v/>
      </c>
      <c r="N20" s="371" t="str" cm="1">
        <f t="array" ref="N20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20" s="371" t="str">
        <f>IF(Tabela_ogolne[[#This Row],[sem2.forma]]&lt;&gt;"",Tabela_ogolne[[#This Row],[sem2.forma]],"")</f>
        <v/>
      </c>
      <c r="P20" s="677" t="str">
        <f>IF(Tabela_ogolne[[#This Row],[sem3.godziny]]&lt;&gt;"",IF(Tabela_ogolne[[#This Row],[sem3.godziny]]&gt;14,Tabela_ogolne[[#This Row],[sem3.godziny]]*0.6,Tabela_ogolne[[#This Row],[sem3.godziny]]),"")</f>
        <v/>
      </c>
      <c r="Q20" s="373" t="str" cm="1">
        <f t="array" ref="Q20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20" s="677" t="str">
        <f>IF(Tabela_ogolne[[#This Row],[sem3.forma]]&lt;&gt;"",Tabela_ogolne[[#This Row],[sem3.forma]],"")</f>
        <v/>
      </c>
      <c r="S20" s="375" t="str">
        <f>IF(Tabela_ogolne[[#This Row],[sem4.godziny]]&lt;&gt;"",IF(Tabela_ogolne[[#This Row],[sem4.godziny]]&gt;14,Tabela_ogolne[[#This Row],[sem4.godziny]]*0.6,Tabela_ogolne[[#This Row],[sem4.godziny]]),"")</f>
        <v/>
      </c>
      <c r="T20" s="375" t="str" cm="1">
        <f t="array" ref="T20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20" s="375" t="str">
        <f>IF(Tabela_ogolne[[#This Row],[sem4.forma]]&lt;&gt;"",Tabela_ogolne[[#This Row],[sem4.forma]],"")</f>
        <v/>
      </c>
      <c r="V20" s="445" t="str">
        <f>IF(Tabela_ogolne[[#This Row],[sem5.godziny]]&lt;&gt;"",IF(Tabela_ogolne[[#This Row],[sem5.godziny]]&gt;14,Tabela_ogolne[[#This Row],[sem5.godziny]]*0.6,Tabela_ogolne[[#This Row],[sem5.godziny]]),"")</f>
        <v/>
      </c>
      <c r="W20" s="445" t="str" cm="1">
        <f t="array" ref="W20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20" s="445" t="str">
        <f>IF(Tabela_ogolne[[#This Row],[sem5.forma]]&lt;&gt;"",Tabela_ogolne[[#This Row],[sem5.forma]],"")</f>
        <v/>
      </c>
      <c r="Y20" s="446" t="str">
        <f>IF(Tabela_ogolne[[#This Row],[sem6.godziny]]&lt;&gt;"",IF(Tabela_ogolne[[#This Row],[sem6.godziny]]&gt;14,Tabela_ogolne[[#This Row],[sem6.godziny]]*0.6,Tabela_ogolne[[#This Row],[sem6.godziny]]),"")</f>
        <v/>
      </c>
      <c r="Z20" s="446" t="str" cm="1">
        <f t="array" ref="Z20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20" s="446" t="str">
        <f>IF(Tabela_ogolne[[#This Row],[sem6.forma]]&lt;&gt;"",Tabela_ogolne[[#This Row],[sem6.forma]],"")</f>
        <v/>
      </c>
      <c r="AB20" s="678" t="str">
        <f>IF(Tabela_ogolne[[#This Row],[sem7.godziny]]&lt;&gt;"",IF(Tabela_ogolne[[#This Row],[sem7.godziny]]&gt;14,Tabela_ogolne[[#This Row],[sem7.godziny]]*0.6,Tabela_ogolne[[#This Row],[sem7.godziny]]),"")</f>
        <v/>
      </c>
      <c r="AC20" s="678" t="str" cm="1">
        <f t="array" ref="AC20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20" s="678" t="str">
        <f>IF(Tabela_ogolne[[#This Row],[sem7.forma]]&lt;&gt;"",Tabela_ogolne[[#This Row],[sem7.forma]],"")</f>
        <v/>
      </c>
      <c r="AE20" s="679" t="str">
        <f>IF(Tabela_ogolne[[#This Row],[sem8.godziny]]&lt;&gt;"",IF(Tabela_ogolne[[#This Row],[sem8.godziny]]&gt;14,Tabela_ogolne[[#This Row],[sem8.godziny]]*0.6,Tabela_ogolne[[#This Row],[sem8.godziny]]),"")</f>
        <v/>
      </c>
      <c r="AF20" s="679" t="str" cm="1">
        <f t="array" ref="AF20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20" s="679" t="str">
        <f>IF(Tabela_ogolne[[#This Row],[sem8.forma]]&lt;&gt;"",Tabela_ogolne[[#This Row],[sem8.forma]],"")</f>
        <v/>
      </c>
      <c r="AH20" s="680" t="str">
        <f>IF(Tabela_ogolne[[#This Row],[sem9.godziny]]&lt;&gt;"",IF(Tabela_ogolne[[#This Row],[sem9.godziny]]&gt;14,Tabela_ogolne[[#This Row],[sem9.godziny]]*0.6,Tabela_ogolne[[#This Row],[sem9.godziny]]),"")</f>
        <v/>
      </c>
      <c r="AI20" s="680" t="str" cm="1">
        <f t="array" ref="AI20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20" s="680" t="str">
        <f>IF(Tabela_ogolne[[#This Row],[sem9.forma]]&lt;&gt;"",Tabela_ogolne[[#This Row],[sem9.forma]],"")</f>
        <v/>
      </c>
      <c r="AK20" s="681" t="str">
        <f>IF(Tabela_ogolne[[#This Row],[sem10.godziny]]&lt;&gt;"",IF(Tabela_ogolne[[#This Row],[sem10.godziny]]&gt;14,Tabela_ogolne[[#This Row],[sem10.godziny]]*0.6,Tabela_ogolne[[#This Row],[sem10.godziny]]),"")</f>
        <v/>
      </c>
      <c r="AL20" s="681" t="str" cm="1">
        <f t="array" ref="AL20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20" s="681" t="str">
        <f>IF(Tabela_ogolne[[#This Row],[sem10.forma]]&lt;&gt;"",Tabela_ogolne[[#This Row],[sem10.forma]],"")</f>
        <v/>
      </c>
      <c r="AN20" s="447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1</v>
      </c>
      <c r="AO20" s="449">
        <f>IF(ISERR(SEARCH("UP",Tabela_ogolne_nst[[#This Row],[Umiej.prakt.]],1)),0,Tabela_ogolne_nst[[#This Row],[ects.razem]])</f>
        <v>0</v>
      </c>
      <c r="AP20" s="450">
        <f>IF(Tabela_ogolne_nst[[#This Row],[czy.ects]]="TAK",ROUND((SUM(Tabela_ogolne_nst[[#This Row],[godziny.konsultacja]],Tabela_ogolne_nst[[#This Row],[godziny.egzamin]],Tabela_ogolne_nst[[#This Row],[godziny.zajec.razem]])/25)/0.5,0)*0.5,0)</f>
        <v>0.5</v>
      </c>
      <c r="AQ20" s="451">
        <f>SUM(Tabela_ogolne_nst[[#This Row],[godziny.samoksztalcenie]],Tabela_ogolne_nst[[#This Row],[godziny.konsultacja]],Tabela_ogolne_nst[[#This Row],[godziny.egzamin]],Tabela_ogolne_nst[[#This Row],[godziny.zajec.razem]])</f>
        <v>27</v>
      </c>
      <c r="AR20" s="452">
        <f>Tabela_ogolne[[#This Row],[godziny.samoksztalcenie]]+(Tabela_ogolne[[#This Row],[godziny.zajec.razem]]-Tabela_ogolne_nst[[#This Row],[godziny.zajec.razem]])</f>
        <v>15</v>
      </c>
      <c r="AS20" s="453">
        <f>Tabela_ogolne[[#This Row],[godziny.konsultacja]]</f>
        <v>1</v>
      </c>
      <c r="AT20" s="369">
        <f>Tabela_ogolne[[#This Row],[godziny.egzamin]]</f>
        <v>2</v>
      </c>
      <c r="AU20" s="454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9</v>
      </c>
      <c r="AV20" s="682">
        <f>IF(Tabela_ogolne_nst[[#This Row],[ects.bezposr.nauczyciel]],Tabela_ogolne_nst[[#This Row],[ects.bezposr.nauczyciel]]/Tabela_ogolne_nst[[#This Row],[ects.razem]],0)</f>
        <v>0.5</v>
      </c>
      <c r="AW20" s="49"/>
    </row>
    <row r="21" spans="1:49" ht="25.5" customHeight="1" x14ac:dyDescent="0.3">
      <c r="A21" s="207"/>
      <c r="B21" s="436" t="str">
        <f>IF(Tabela_ogolne[[#This Row],[kod.isced]]&lt;&gt;"",Tabela_ogolne[[#This Row],[kod.isced]],"")</f>
        <v>1014</v>
      </c>
      <c r="C21" s="437">
        <f>IF(Tabela_ogolne[[#This Row],[kod.dziedziny]]&lt;&gt;"",Tabela_ogolne[[#This Row],[kod.dziedziny]],"")</f>
        <v>303</v>
      </c>
      <c r="D21" s="437" t="str">
        <f>IF(Tabela_ogolne[[#This Row],[Modul]]&lt;&gt;"",Tabela_ogolne[[#This Row],[Modul]],"")</f>
        <v>ou.05.1</v>
      </c>
      <c r="E21" s="437" t="str">
        <f>IF(Tabela_ogolne[[#This Row],[Umiej.prakt.]]&lt;&gt;"",Tabela_ogolne[[#This Row],[Umiej.prakt.]],"")</f>
        <v>up</v>
      </c>
      <c r="F21" s="438" t="str">
        <f>IF(Tabela_ogolne[[#This Row],[Nazwa przedmiotu]]&lt;&gt;"",Tabela_ogolne[[#This Row],[Nazwa przedmiotu]],"")</f>
        <v>Wychowanie fizyczne</v>
      </c>
      <c r="G21" s="439" t="str">
        <f>IF(Tabela_ogolne[[#This Row],[Prowadzacy]]&lt;&gt;"",Tabela_ogolne[[#This Row],[Prowadzacy]],"")</f>
        <v/>
      </c>
      <c r="H21" s="440" t="str">
        <f>IF(Tabela_ogolne[[#This Row],[Forma]]&lt;&gt;"",Tabela_ogolne[[#This Row],[Forma]],"")</f>
        <v>ćwiczenia</v>
      </c>
      <c r="I21" s="441" t="str">
        <f>IF(Tabela_ogolne[[#This Row],[czy.ects]]&lt;&gt;"",Tabela_ogolne[[#This Row],[czy.ects]],"")</f>
        <v>NIE</v>
      </c>
      <c r="J21" s="369" t="str">
        <f>IF(Tabela_ogolne[[#This Row],[sem1.godziny]]&lt;&gt;"",IF(Tabela_ogolne[[#This Row],[sem1.godziny]]&gt;14,Tabela_ogolne[[#This Row],[sem1.godziny]]*0.6,Tabela_ogolne[[#This Row],[sem1.godziny]]),"")</f>
        <v/>
      </c>
      <c r="K21" s="369" t="str" cm="1">
        <f t="array" ref="K21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/>
      </c>
      <c r="L21" s="369" t="str">
        <f>IF(Tabela_ogolne[[#This Row],[sem1.forma]]&lt;&gt;"",Tabela_ogolne[[#This Row],[sem1.forma]],"")</f>
        <v/>
      </c>
      <c r="M21" s="371">
        <f>IF(Tabela_ogolne[[#This Row],[sem2.godziny]]&lt;&gt;"",IF(Tabela_ogolne[[#This Row],[sem2.godziny]]&gt;14,Tabela_ogolne[[#This Row],[sem2.godziny]]*0.6,Tabela_ogolne[[#This Row],[sem2.godziny]]),"")</f>
        <v>18</v>
      </c>
      <c r="N21" s="371" t="str" cm="1">
        <f t="array" ref="N21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21" s="371" t="str">
        <f>IF(Tabela_ogolne[[#This Row],[sem2.forma]]&lt;&gt;"",Tabela_ogolne[[#This Row],[sem2.forma]],"")</f>
        <v>b</v>
      </c>
      <c r="P21" s="677">
        <f>IF(Tabela_ogolne[[#This Row],[sem3.godziny]]&lt;&gt;"",IF(Tabela_ogolne[[#This Row],[sem3.godziny]]&gt;14,Tabela_ogolne[[#This Row],[sem3.godziny]]*0.6,Tabela_ogolne[[#This Row],[sem3.godziny]]),"")</f>
        <v>18</v>
      </c>
      <c r="Q21" s="373" t="str" cm="1">
        <f t="array" ref="Q21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21" s="677" t="str">
        <f>IF(Tabela_ogolne[[#This Row],[sem3.forma]]&lt;&gt;"",Tabela_ogolne[[#This Row],[sem3.forma]],"")</f>
        <v>b</v>
      </c>
      <c r="S21" s="375" t="str">
        <f>IF(Tabela_ogolne[[#This Row],[sem4.godziny]]&lt;&gt;"",IF(Tabela_ogolne[[#This Row],[sem4.godziny]]&gt;14,Tabela_ogolne[[#This Row],[sem4.godziny]]*0.6,Tabela_ogolne[[#This Row],[sem4.godziny]]),"")</f>
        <v/>
      </c>
      <c r="T21" s="375" t="str" cm="1">
        <f t="array" ref="T21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21" s="375" t="str">
        <f>IF(Tabela_ogolne[[#This Row],[sem4.forma]]&lt;&gt;"",Tabela_ogolne[[#This Row],[sem4.forma]],"")</f>
        <v/>
      </c>
      <c r="V21" s="445" t="str">
        <f>IF(Tabela_ogolne[[#This Row],[sem5.godziny]]&lt;&gt;"",IF(Tabela_ogolne[[#This Row],[sem5.godziny]]&gt;14,Tabela_ogolne[[#This Row],[sem5.godziny]]*0.6,Tabela_ogolne[[#This Row],[sem5.godziny]]),"")</f>
        <v/>
      </c>
      <c r="W21" s="445" t="str" cm="1">
        <f t="array" ref="W21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21" s="445" t="str">
        <f>IF(Tabela_ogolne[[#This Row],[sem5.forma]]&lt;&gt;"",Tabela_ogolne[[#This Row],[sem5.forma]],"")</f>
        <v/>
      </c>
      <c r="Y21" s="446" t="str">
        <f>IF(Tabela_ogolne[[#This Row],[sem6.godziny]]&lt;&gt;"",IF(Tabela_ogolne[[#This Row],[sem6.godziny]]&gt;14,Tabela_ogolne[[#This Row],[sem6.godziny]]*0.6,Tabela_ogolne[[#This Row],[sem6.godziny]]),"")</f>
        <v/>
      </c>
      <c r="Z21" s="446" t="str" cm="1">
        <f t="array" ref="Z21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21" s="446" t="str">
        <f>IF(Tabela_ogolne[[#This Row],[sem6.forma]]&lt;&gt;"",Tabela_ogolne[[#This Row],[sem6.forma]],"")</f>
        <v/>
      </c>
      <c r="AB21" s="678" t="str">
        <f>IF(Tabela_ogolne[[#This Row],[sem7.godziny]]&lt;&gt;"",IF(Tabela_ogolne[[#This Row],[sem7.godziny]]&gt;14,Tabela_ogolne[[#This Row],[sem7.godziny]]*0.6,Tabela_ogolne[[#This Row],[sem7.godziny]]),"")</f>
        <v/>
      </c>
      <c r="AC21" s="678" t="str" cm="1">
        <f t="array" ref="AC21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21" s="678" t="str">
        <f>IF(Tabela_ogolne[[#This Row],[sem7.forma]]&lt;&gt;"",Tabela_ogolne[[#This Row],[sem7.forma]],"")</f>
        <v/>
      </c>
      <c r="AE21" s="679" t="str">
        <f>IF(Tabela_ogolne[[#This Row],[sem8.godziny]]&lt;&gt;"",IF(Tabela_ogolne[[#This Row],[sem8.godziny]]&gt;14,Tabela_ogolne[[#This Row],[sem8.godziny]]*0.6,Tabela_ogolne[[#This Row],[sem8.godziny]]),"")</f>
        <v/>
      </c>
      <c r="AF21" s="679" t="str" cm="1">
        <f t="array" ref="AF21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21" s="679" t="str">
        <f>IF(Tabela_ogolne[[#This Row],[sem8.forma]]&lt;&gt;"",Tabela_ogolne[[#This Row],[sem8.forma]],"")</f>
        <v/>
      </c>
      <c r="AH21" s="680" t="str">
        <f>IF(Tabela_ogolne[[#This Row],[sem9.godziny]]&lt;&gt;"",IF(Tabela_ogolne[[#This Row],[sem9.godziny]]&gt;14,Tabela_ogolne[[#This Row],[sem9.godziny]]*0.6,Tabela_ogolne[[#This Row],[sem9.godziny]]),"")</f>
        <v/>
      </c>
      <c r="AI21" s="680" t="str" cm="1">
        <f t="array" ref="AI21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21" s="680" t="str">
        <f>IF(Tabela_ogolne[[#This Row],[sem9.forma]]&lt;&gt;"",Tabela_ogolne[[#This Row],[sem9.forma]],"")</f>
        <v/>
      </c>
      <c r="AK21" s="681" t="str">
        <f>IF(Tabela_ogolne[[#This Row],[sem10.godziny]]&lt;&gt;"",IF(Tabela_ogolne[[#This Row],[sem10.godziny]]&gt;14,Tabela_ogolne[[#This Row],[sem10.godziny]]*0.6,Tabela_ogolne[[#This Row],[sem10.godziny]]),"")</f>
        <v/>
      </c>
      <c r="AL21" s="681" t="str" cm="1">
        <f t="array" ref="AL21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21" s="681" t="str">
        <f>IF(Tabela_ogolne[[#This Row],[sem10.forma]]&lt;&gt;"",Tabela_ogolne[[#This Row],[sem10.forma]],"")</f>
        <v/>
      </c>
      <c r="AN21" s="447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0</v>
      </c>
      <c r="AO21" s="449">
        <f>IF(ISERR(SEARCH("UP",Tabela_ogolne_nst[[#This Row],[Umiej.prakt.]],1)),0,Tabela_ogolne_nst[[#This Row],[ects.razem]])</f>
        <v>0</v>
      </c>
      <c r="AP21" s="450">
        <f>IF(Tabela_ogolne_nst[[#This Row],[czy.ects]]="TAK",ROUND((SUM(Tabela_ogolne_nst[[#This Row],[godziny.konsultacja]],Tabela_ogolne_nst[[#This Row],[godziny.egzamin]],Tabela_ogolne_nst[[#This Row],[godziny.zajec.razem]])/25)/0.5,0)*0.5,0)</f>
        <v>0</v>
      </c>
      <c r="AQ21" s="451">
        <f>SUM(Tabela_ogolne_nst[[#This Row],[godziny.samoksztalcenie]],Tabela_ogolne_nst[[#This Row],[godziny.konsultacja]],Tabela_ogolne_nst[[#This Row],[godziny.egzamin]],Tabela_ogolne_nst[[#This Row],[godziny.zajec.razem]])</f>
        <v>105</v>
      </c>
      <c r="AR21" s="452">
        <f>Tabela_ogolne[[#This Row],[godziny.samoksztalcenie]]+(Tabela_ogolne[[#This Row],[godziny.zajec.razem]]-Tabela_ogolne_nst[[#This Row],[godziny.zajec.razem]])</f>
        <v>59</v>
      </c>
      <c r="AS21" s="453">
        <f>Tabela_ogolne[[#This Row],[godziny.konsultacja]]</f>
        <v>6</v>
      </c>
      <c r="AT21" s="369">
        <f>Tabela_ogolne[[#This Row],[godziny.egzamin]]</f>
        <v>4</v>
      </c>
      <c r="AU21" s="454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36</v>
      </c>
      <c r="AV21" s="682">
        <f>IF(Tabela_ogolne_nst[[#This Row],[ects.bezposr.nauczyciel]],Tabela_ogolne_nst[[#This Row],[ects.bezposr.nauczyciel]]/Tabela_ogolne_nst[[#This Row],[ects.razem]],0)</f>
        <v>0</v>
      </c>
      <c r="AW21" s="49"/>
    </row>
    <row r="22" spans="1:49" ht="25.5" customHeight="1" x14ac:dyDescent="0.3">
      <c r="A22" s="207"/>
      <c r="B22" s="307" t="str">
        <f>IF(Tabela_ogolne[[#This Row],[kod.isced]]&lt;&gt;"",Tabela_ogolne[[#This Row],[kod.isced]],"")</f>
        <v>0231</v>
      </c>
      <c r="C22" s="193">
        <f>IF(Tabela_ogolne[[#This Row],[kod.dziedziny]]&lt;&gt;"",Tabela_ogolne[[#This Row],[kod.dziedziny]],"")</f>
        <v>104</v>
      </c>
      <c r="D22" s="193" t="str">
        <f>IF(Tabela_ogolne[[#This Row],[Modul]]&lt;&gt;"",Tabela_ogolne[[#This Row],[Modul]],"")</f>
        <v>ou.06.1</v>
      </c>
      <c r="E22" s="193" t="str">
        <f>IF(Tabela_ogolne[[#This Row],[Umiej.prakt.]]&lt;&gt;"",Tabela_ogolne[[#This Row],[Umiej.prakt.]],"")</f>
        <v>up</v>
      </c>
      <c r="F22" s="308" t="str">
        <f>IF(Tabela_ogolne[[#This Row],[Nazwa przedmiotu]]&lt;&gt;"",Tabela_ogolne[[#This Row],[Nazwa przedmiotu]],"")</f>
        <v>Język obcy</v>
      </c>
      <c r="G22" s="309" t="str">
        <f>IF(Tabela_ogolne[[#This Row],[Prowadzacy]]&lt;&gt;"",Tabela_ogolne[[#This Row],[Prowadzacy]],"")</f>
        <v/>
      </c>
      <c r="H22" s="155" t="str">
        <f>IF(Tabela_ogolne[[#This Row],[Forma]]&lt;&gt;"",Tabela_ogolne[[#This Row],[Forma]],"")</f>
        <v>ćwiczenia</v>
      </c>
      <c r="I22" s="156" t="str">
        <f>IF(Tabela_ogolne[[#This Row],[czy.ects]]&lt;&gt;"",Tabela_ogolne[[#This Row],[czy.ects]],"")</f>
        <v>TAK</v>
      </c>
      <c r="J22" s="356" t="str">
        <f>IF(Tabela_ogolne[[#This Row],[sem1.godziny]]&lt;&gt;"",IF(Tabela_ogolne[[#This Row],[sem1.godziny]]&gt;14,Tabela_ogolne[[#This Row],[sem1.godziny]]*0.6,Tabela_ogolne[[#This Row],[sem1.godziny]]),"")</f>
        <v/>
      </c>
      <c r="K22" s="356" t="str" cm="1">
        <f t="array" ref="K22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/>
      </c>
      <c r="L22" s="356" t="str">
        <f>IF(Tabela_ogolne[[#This Row],[sem1.forma]]&lt;&gt;"",Tabela_ogolne[[#This Row],[sem1.forma]],"")</f>
        <v/>
      </c>
      <c r="M22" s="357">
        <f>IF(Tabela_ogolne[[#This Row],[sem2.godziny]]&lt;&gt;"",IF(Tabela_ogolne[[#This Row],[sem2.godziny]]&gt;14,Tabela_ogolne[[#This Row],[sem2.godziny]]*0.6,Tabela_ogolne[[#This Row],[sem2.godziny]]),"")</f>
        <v>18</v>
      </c>
      <c r="N22" s="357">
        <v>3</v>
      </c>
      <c r="O22" s="357" t="str">
        <f>IF(Tabela_ogolne[[#This Row],[sem2.forma]]&lt;&gt;"",Tabela_ogolne[[#This Row],[sem2.forma]],"")</f>
        <v>z</v>
      </c>
      <c r="P22" s="358">
        <f>IF(Tabela_ogolne[[#This Row],[sem3.godziny]]&lt;&gt;"",IF(Tabela_ogolne[[#This Row],[sem3.godziny]]&gt;14,Tabela_ogolne[[#This Row],[sem3.godziny]]*0.6,Tabela_ogolne[[#This Row],[sem3.godziny]]),"")</f>
        <v>18</v>
      </c>
      <c r="Q22" s="359">
        <v>3</v>
      </c>
      <c r="R22" s="358" t="str">
        <f>IF(Tabela_ogolne[[#This Row],[sem3.forma]]&lt;&gt;"",Tabela_ogolne[[#This Row],[sem3.forma]],"")</f>
        <v>z</v>
      </c>
      <c r="S22" s="355">
        <f>IF(Tabela_ogolne[[#This Row],[sem4.godziny]]&lt;&gt;"",IF(Tabela_ogolne[[#This Row],[sem4.godziny]]&gt;14,Tabela_ogolne[[#This Row],[sem4.godziny]]*0.6,Tabela_ogolne[[#This Row],[sem4.godziny]]),"")</f>
        <v>18</v>
      </c>
      <c r="T22" s="355">
        <v>3</v>
      </c>
      <c r="U22" s="355" t="str">
        <f>IF(Tabela_ogolne[[#This Row],[sem4.forma]]&lt;&gt;"",Tabela_ogolne[[#This Row],[sem4.forma]],"")</f>
        <v>z</v>
      </c>
      <c r="V22" s="180">
        <f>IF(Tabela_ogolne[[#This Row],[sem5.godziny]]&lt;&gt;"",IF(Tabela_ogolne[[#This Row],[sem5.godziny]]&gt;14,Tabela_ogolne[[#This Row],[sem5.godziny]]*0.6,Tabela_ogolne[[#This Row],[sem5.godziny]]),"")</f>
        <v>18</v>
      </c>
      <c r="W22" s="180" cm="1">
        <f t="array" ref="W22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>2</v>
      </c>
      <c r="X22" s="180" t="str">
        <f>IF(Tabela_ogolne[[#This Row],[sem5.forma]]&lt;&gt;"",Tabela_ogolne[[#This Row],[sem5.forma]],"")</f>
        <v>z</v>
      </c>
      <c r="Y22" s="181" t="str">
        <f>IF(Tabela_ogolne[[#This Row],[sem6.godziny]]&lt;&gt;"",IF(Tabela_ogolne[[#This Row],[sem6.godziny]]&gt;14,Tabela_ogolne[[#This Row],[sem6.godziny]]*0.6,Tabela_ogolne[[#This Row],[sem6.godziny]]),"")</f>
        <v/>
      </c>
      <c r="Z22" s="181" t="str" cm="1">
        <f t="array" ref="Z22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22" s="181" t="str">
        <f>IF(Tabela_ogolne[[#This Row],[sem6.forma]]&lt;&gt;"",Tabela_ogolne[[#This Row],[sem6.forma]],"")</f>
        <v/>
      </c>
      <c r="AB22" s="182" t="str">
        <f>IF(Tabela_ogolne[[#This Row],[sem7.godziny]]&lt;&gt;"",IF(Tabela_ogolne[[#This Row],[sem7.godziny]]&gt;14,Tabela_ogolne[[#This Row],[sem7.godziny]]*0.6,Tabela_ogolne[[#This Row],[sem7.godziny]]),"")</f>
        <v/>
      </c>
      <c r="AC22" s="182" t="str" cm="1">
        <f t="array" ref="AC22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22" s="182" t="str">
        <f>IF(Tabela_ogolne[[#This Row],[sem7.forma]]&lt;&gt;"",Tabela_ogolne[[#This Row],[sem7.forma]],"")</f>
        <v/>
      </c>
      <c r="AE22" s="183" t="str">
        <f>IF(Tabela_ogolne[[#This Row],[sem8.godziny]]&lt;&gt;"",IF(Tabela_ogolne[[#This Row],[sem8.godziny]]&gt;14,Tabela_ogolne[[#This Row],[sem8.godziny]]*0.6,Tabela_ogolne[[#This Row],[sem8.godziny]]),"")</f>
        <v/>
      </c>
      <c r="AF22" s="183" t="str" cm="1">
        <f t="array" ref="AF22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22" s="183" t="str">
        <f>IF(Tabela_ogolne[[#This Row],[sem8.forma]]&lt;&gt;"",Tabela_ogolne[[#This Row],[sem8.forma]],"")</f>
        <v/>
      </c>
      <c r="AH22" s="184" t="str">
        <f>IF(Tabela_ogolne[[#This Row],[sem9.godziny]]&lt;&gt;"",IF(Tabela_ogolne[[#This Row],[sem9.godziny]]&gt;14,Tabela_ogolne[[#This Row],[sem9.godziny]]*0.6,Tabela_ogolne[[#This Row],[sem9.godziny]]),"")</f>
        <v/>
      </c>
      <c r="AI22" s="184" t="str" cm="1">
        <f t="array" ref="AI22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22" s="184" t="str">
        <f>IF(Tabela_ogolne[[#This Row],[sem9.forma]]&lt;&gt;"",Tabela_ogolne[[#This Row],[sem9.forma]],"")</f>
        <v/>
      </c>
      <c r="AK22" s="185" t="str">
        <f>IF(Tabela_ogolne[[#This Row],[sem10.godziny]]&lt;&gt;"",IF(Tabela_ogolne[[#This Row],[sem10.godziny]]&gt;14,Tabela_ogolne[[#This Row],[sem10.godziny]]*0.6,Tabela_ogolne[[#This Row],[sem10.godziny]]),"")</f>
        <v/>
      </c>
      <c r="AL22" s="185" t="str" cm="1">
        <f t="array" ref="AL22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22" s="185" t="str">
        <f>IF(Tabela_ogolne[[#This Row],[sem10.forma]]&lt;&gt;"",Tabela_ogolne[[#This Row],[sem10.forma]],"")</f>
        <v/>
      </c>
      <c r="AN22" s="186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11</v>
      </c>
      <c r="AO22" s="187">
        <f>IF(ISERR(SEARCH("UP",Tabela_ogolne_nst[[#This Row],[Umiej.prakt.]],1)),0,Tabela_ogolne_nst[[#This Row],[ects.razem]])</f>
        <v>11</v>
      </c>
      <c r="AP22" s="188">
        <f>IF(Tabela_ogolne_nst[[#This Row],[czy.ects]]="TAK",ROUND((SUM(Tabela_ogolne_nst[[#This Row],[godziny.konsultacja]],Tabela_ogolne_nst[[#This Row],[godziny.egzamin]],Tabela_ogolne_nst[[#This Row],[godziny.zajec.razem]])/25)/0.5,0)*0.5,0)</f>
        <v>3.5</v>
      </c>
      <c r="AQ22" s="310">
        <f>SUM(Tabela_ogolne_nst[[#This Row],[godziny.samoksztalcenie]],Tabela_ogolne_nst[[#This Row],[godziny.konsultacja]],Tabela_ogolne_nst[[#This Row],[godziny.egzamin]],Tabela_ogolne_nst[[#This Row],[godziny.zajec.razem]])</f>
        <v>204</v>
      </c>
      <c r="AR22" s="311">
        <f>Tabela_ogolne[[#This Row],[godziny.samoksztalcenie]]+(Tabela_ogolne[[#This Row],[godziny.zajec.razem]]-Tabela_ogolne_nst[[#This Row],[godziny.zajec.razem]])</f>
        <v>116</v>
      </c>
      <c r="AS22" s="189">
        <f>Tabela_ogolne[[#This Row],[godziny.konsultacja]]</f>
        <v>12</v>
      </c>
      <c r="AT22" s="179">
        <f>Tabela_ogolne[[#This Row],[godziny.egzamin]]</f>
        <v>4</v>
      </c>
      <c r="AU22" s="190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72</v>
      </c>
      <c r="AV22" s="312">
        <f>IF(Tabela_ogolne_nst[[#This Row],[ects.bezposr.nauczyciel]],Tabela_ogolne_nst[[#This Row],[ects.bezposr.nauczyciel]]/Tabela_ogolne_nst[[#This Row],[ects.razem]],0)</f>
        <v>0.31818181818181818</v>
      </c>
      <c r="AW22" s="49"/>
    </row>
    <row r="23" spans="1:49" ht="25.5" customHeight="1" x14ac:dyDescent="0.3">
      <c r="A23" s="207"/>
      <c r="B23" s="307" t="str">
        <f>IF(Tabela_ogolne[[#This Row],[kod.isced]]&lt;&gt;"",Tabela_ogolne[[#This Row],[kod.isced]],"")</f>
        <v>1022</v>
      </c>
      <c r="C23" s="193">
        <f>IF(Tabela_ogolne[[#This Row],[kod.dziedziny]]&lt;&gt;"",Tabela_ogolne[[#This Row],[kod.dziedziny]],"")</f>
        <v>506</v>
      </c>
      <c r="D23" s="193" t="str">
        <f>IF(Tabela_ogolne[[#This Row],[Modul]]&lt;&gt;"",Tabela_ogolne[[#This Row],[Modul]],"")</f>
        <v>ou.07.1</v>
      </c>
      <c r="E23" s="193" t="str">
        <f>IF(Tabela_ogolne[[#This Row],[Umiej.prakt.]]&lt;&gt;"",Tabela_ogolne[[#This Row],[Umiej.prakt.]],"")</f>
        <v/>
      </c>
      <c r="F23" s="308" t="str">
        <f>IF(Tabela_ogolne[[#This Row],[Nazwa przedmiotu]]&lt;&gt;"",Tabela_ogolne[[#This Row],[Nazwa przedmiotu]],"")</f>
        <v>Szkolenie BHP</v>
      </c>
      <c r="G23" s="309" t="str">
        <f>IF(Tabela_ogolne[[#This Row],[Prowadzacy]]&lt;&gt;"",Tabela_ogolne[[#This Row],[Prowadzacy]],"")</f>
        <v/>
      </c>
      <c r="H23" s="155" t="str">
        <f>IF(Tabela_ogolne[[#This Row],[Forma]]&lt;&gt;"",Tabela_ogolne[[#This Row],[Forma]],"")</f>
        <v>instruktaż</v>
      </c>
      <c r="I23" s="156" t="str">
        <f>IF(Tabela_ogolne[[#This Row],[czy.ects]]&lt;&gt;"",Tabela_ogolne[[#This Row],[czy.ects]],"")</f>
        <v>NIE</v>
      </c>
      <c r="J23" s="356">
        <f>IF(Tabela_ogolne[[#This Row],[sem1.godziny]]&lt;&gt;"",IF(Tabela_ogolne[[#This Row],[sem1.godziny]]&gt;14,Tabela_ogolne[[#This Row],[sem1.godziny]]*0.6,Tabela_ogolne[[#This Row],[sem1.godziny]]),"")</f>
        <v>5</v>
      </c>
      <c r="K23" s="356" t="str" cm="1">
        <f t="array" ref="K23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/>
      </c>
      <c r="L23" s="356" t="str">
        <f>IF(Tabela_ogolne[[#This Row],[sem1.forma]]&lt;&gt;"",Tabela_ogolne[[#This Row],[sem1.forma]],"")</f>
        <v>b</v>
      </c>
      <c r="M23" s="357" t="str">
        <f>IF(Tabela_ogolne[[#This Row],[sem2.godziny]]&lt;&gt;"",IF(Tabela_ogolne[[#This Row],[sem2.godziny]]&gt;14,Tabela_ogolne[[#This Row],[sem2.godziny]]*0.6,Tabela_ogolne[[#This Row],[sem2.godziny]]),"")</f>
        <v/>
      </c>
      <c r="N23" s="357" t="str" cm="1">
        <f t="array" ref="N23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23" s="357" t="str">
        <f>IF(Tabela_ogolne[[#This Row],[sem2.forma]]&lt;&gt;"",Tabela_ogolne[[#This Row],[sem2.forma]],"")</f>
        <v/>
      </c>
      <c r="P23" s="358" t="str">
        <f>IF(Tabela_ogolne[[#This Row],[sem3.godziny]]&lt;&gt;"",IF(Tabela_ogolne[[#This Row],[sem3.godziny]]&gt;14,Tabela_ogolne[[#This Row],[sem3.godziny]]*0.6,Tabela_ogolne[[#This Row],[sem3.godziny]]),"")</f>
        <v/>
      </c>
      <c r="Q23" s="359" t="str" cm="1">
        <f t="array" ref="Q23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23" s="358" t="str">
        <f>IF(Tabela_ogolne[[#This Row],[sem3.forma]]&lt;&gt;"",Tabela_ogolne[[#This Row],[sem3.forma]],"")</f>
        <v/>
      </c>
      <c r="S23" s="355" t="str">
        <f>IF(Tabela_ogolne[[#This Row],[sem4.godziny]]&lt;&gt;"",IF(Tabela_ogolne[[#This Row],[sem4.godziny]]&gt;14,Tabela_ogolne[[#This Row],[sem4.godziny]]*0.6,Tabela_ogolne[[#This Row],[sem4.godziny]]),"")</f>
        <v/>
      </c>
      <c r="T23" s="355" t="str" cm="1">
        <f t="array" ref="T23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23" s="355" t="str">
        <f>IF(Tabela_ogolne[[#This Row],[sem4.forma]]&lt;&gt;"",Tabela_ogolne[[#This Row],[sem4.forma]],"")</f>
        <v/>
      </c>
      <c r="V23" s="180" t="str">
        <f>IF(Tabela_ogolne[[#This Row],[sem5.godziny]]&lt;&gt;"",IF(Tabela_ogolne[[#This Row],[sem5.godziny]]&gt;14,Tabela_ogolne[[#This Row],[sem5.godziny]]*0.6,Tabela_ogolne[[#This Row],[sem5.godziny]]),"")</f>
        <v/>
      </c>
      <c r="W23" s="180" t="str" cm="1">
        <f t="array" ref="W23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23" s="180" t="str">
        <f>IF(Tabela_ogolne[[#This Row],[sem5.forma]]&lt;&gt;"",Tabela_ogolne[[#This Row],[sem5.forma]],"")</f>
        <v/>
      </c>
      <c r="Y23" s="181" t="str">
        <f>IF(Tabela_ogolne[[#This Row],[sem6.godziny]]&lt;&gt;"",IF(Tabela_ogolne[[#This Row],[sem6.godziny]]&gt;14,Tabela_ogolne[[#This Row],[sem6.godziny]]*0.6,Tabela_ogolne[[#This Row],[sem6.godziny]]),"")</f>
        <v/>
      </c>
      <c r="Z23" s="181" t="str" cm="1">
        <f t="array" ref="Z23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23" s="181" t="str">
        <f>IF(Tabela_ogolne[[#This Row],[sem6.forma]]&lt;&gt;"",Tabela_ogolne[[#This Row],[sem6.forma]],"")</f>
        <v/>
      </c>
      <c r="AB23" s="182" t="str">
        <f>IF(Tabela_ogolne[[#This Row],[sem7.godziny]]&lt;&gt;"",IF(Tabela_ogolne[[#This Row],[sem7.godziny]]&gt;14,Tabela_ogolne[[#This Row],[sem7.godziny]]*0.6,Tabela_ogolne[[#This Row],[sem7.godziny]]),"")</f>
        <v/>
      </c>
      <c r="AC23" s="182" t="str" cm="1">
        <f t="array" ref="AC23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23" s="182" t="str">
        <f>IF(Tabela_ogolne[[#This Row],[sem7.forma]]&lt;&gt;"",Tabela_ogolne[[#This Row],[sem7.forma]],"")</f>
        <v/>
      </c>
      <c r="AE23" s="183" t="str">
        <f>IF(Tabela_ogolne[[#This Row],[sem8.godziny]]&lt;&gt;"",IF(Tabela_ogolne[[#This Row],[sem8.godziny]]&gt;14,Tabela_ogolne[[#This Row],[sem8.godziny]]*0.6,Tabela_ogolne[[#This Row],[sem8.godziny]]),"")</f>
        <v/>
      </c>
      <c r="AF23" s="183" t="str" cm="1">
        <f t="array" ref="AF23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23" s="183" t="str">
        <f>IF(Tabela_ogolne[[#This Row],[sem8.forma]]&lt;&gt;"",Tabela_ogolne[[#This Row],[sem8.forma]],"")</f>
        <v/>
      </c>
      <c r="AH23" s="184" t="str">
        <f>IF(Tabela_ogolne[[#This Row],[sem9.godziny]]&lt;&gt;"",IF(Tabela_ogolne[[#This Row],[sem9.godziny]]&gt;14,Tabela_ogolne[[#This Row],[sem9.godziny]]*0.6,Tabela_ogolne[[#This Row],[sem9.godziny]]),"")</f>
        <v/>
      </c>
      <c r="AI23" s="184" t="str" cm="1">
        <f t="array" ref="AI23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23" s="184" t="str">
        <f>IF(Tabela_ogolne[[#This Row],[sem9.forma]]&lt;&gt;"",Tabela_ogolne[[#This Row],[sem9.forma]],"")</f>
        <v/>
      </c>
      <c r="AK23" s="185" t="str">
        <f>IF(Tabela_ogolne[[#This Row],[sem10.godziny]]&lt;&gt;"",IF(Tabela_ogolne[[#This Row],[sem10.godziny]]&gt;14,Tabela_ogolne[[#This Row],[sem10.godziny]]*0.6,Tabela_ogolne[[#This Row],[sem10.godziny]]),"")</f>
        <v/>
      </c>
      <c r="AL23" s="185" t="str" cm="1">
        <f t="array" ref="AL23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23" s="185" t="str">
        <f>IF(Tabela_ogolne[[#This Row],[sem10.forma]]&lt;&gt;"",Tabela_ogolne[[#This Row],[sem10.forma]],"")</f>
        <v/>
      </c>
      <c r="AN23" s="186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0</v>
      </c>
      <c r="AO23" s="187">
        <f>IF(ISERR(SEARCH("UP",Tabela_ogolne_nst[[#This Row],[Umiej.prakt.]],1)),0,Tabela_ogolne_nst[[#This Row],[ects.razem]])</f>
        <v>0</v>
      </c>
      <c r="AP23" s="188">
        <f>IF(Tabela_ogolne_nst[[#This Row],[czy.ects]]="TAK",ROUND((SUM(Tabela_ogolne_nst[[#This Row],[godziny.konsultacja]],Tabela_ogolne_nst[[#This Row],[godziny.egzamin]],Tabela_ogolne_nst[[#This Row],[godziny.zajec.razem]])/25)/0.5,0)*0.5,0)</f>
        <v>0</v>
      </c>
      <c r="AQ23" s="310">
        <f>SUM(Tabela_ogolne_nst[[#This Row],[godziny.samoksztalcenie]],Tabela_ogolne_nst[[#This Row],[godziny.konsultacja]],Tabela_ogolne_nst[[#This Row],[godziny.egzamin]],Tabela_ogolne_nst[[#This Row],[godziny.zajec.razem]])</f>
        <v>10</v>
      </c>
      <c r="AR23" s="311">
        <f>Tabela_ogolne[[#This Row],[godziny.samoksztalcenie]]+(Tabela_ogolne[[#This Row],[godziny.zajec.razem]]-Tabela_ogolne_nst[[#This Row],[godziny.zajec.razem]])</f>
        <v>3</v>
      </c>
      <c r="AS23" s="189">
        <f>Tabela_ogolne[[#This Row],[godziny.konsultacja]]</f>
        <v>0</v>
      </c>
      <c r="AT23" s="179">
        <f>Tabela_ogolne[[#This Row],[godziny.egzamin]]</f>
        <v>2</v>
      </c>
      <c r="AU23" s="190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5</v>
      </c>
      <c r="AV23" s="312">
        <f>IF(Tabela_ogolne_nst[[#This Row],[ects.bezposr.nauczyciel]],Tabela_ogolne_nst[[#This Row],[ects.bezposr.nauczyciel]]/Tabela_ogolne_nst[[#This Row],[ects.razem]],0)</f>
        <v>0</v>
      </c>
      <c r="AW23" s="49"/>
    </row>
    <row r="24" spans="1:49" ht="25.5" customHeight="1" x14ac:dyDescent="0.3">
      <c r="A24" s="207"/>
      <c r="B24" s="313" t="str">
        <f>IF(Tabela_ogolne[[#This Row],[kod.isced]]&lt;&gt;"",Tabela_ogolne[[#This Row],[kod.isced]],"")</f>
        <v>0322</v>
      </c>
      <c r="C24" s="199">
        <f>IF(Tabela_ogolne[[#This Row],[kod.dziedziny]]&lt;&gt;"",Tabela_ogolne[[#This Row],[kod.dziedziny]],"")</f>
        <v>303</v>
      </c>
      <c r="D24" s="199" t="str">
        <f>IF(Tabela_ogolne[[#This Row],[Modul]]&lt;&gt;"",Tabela_ogolne[[#This Row],[Modul]],"")</f>
        <v>ou.08.1</v>
      </c>
      <c r="E24" s="199" t="str">
        <f>IF(Tabela_ogolne[[#This Row],[Umiej.prakt.]]&lt;&gt;"",Tabela_ogolne[[#This Row],[Umiej.prakt.]],"")</f>
        <v/>
      </c>
      <c r="F24" s="314" t="str">
        <f>IF(Tabela_ogolne[[#This Row],[Nazwa przedmiotu]]&lt;&gt;"",Tabela_ogolne[[#This Row],[Nazwa przedmiotu]],"")</f>
        <v>Szkolenie biblioteczne</v>
      </c>
      <c r="G24" s="315" t="str">
        <f>IF(Tabela_ogolne[[#This Row],[Prowadzacy]]&lt;&gt;"",Tabela_ogolne[[#This Row],[Prowadzacy]],"")</f>
        <v/>
      </c>
      <c r="H24" s="200" t="str">
        <f>IF(Tabela_ogolne[[#This Row],[Forma]]&lt;&gt;"",Tabela_ogolne[[#This Row],[Forma]],"")</f>
        <v>instruktaż</v>
      </c>
      <c r="I24" s="197" t="str">
        <f>IF(Tabela_ogolne[[#This Row],[czy.ects]]&lt;&gt;"",Tabela_ogolne[[#This Row],[czy.ects]],"")</f>
        <v>NIE</v>
      </c>
      <c r="J24" s="356">
        <f>IF(Tabela_ogolne[[#This Row],[sem1.godziny]]&lt;&gt;"",IF(Tabela_ogolne[[#This Row],[sem1.godziny]]&gt;14,Tabela_ogolne[[#This Row],[sem1.godziny]]*0.6,Tabela_ogolne[[#This Row],[sem1.godziny]]),"")</f>
        <v>5</v>
      </c>
      <c r="K24" s="356" t="str" cm="1">
        <f t="array" ref="K24">IF(Tabela_ogolne_nst[[#This Row],[czy.ects]]="TAK",_xlfn.IFS(AND(Tabela_ogolne_nst[[#This Row],[sem1.godziny]]&gt;=$Q$195,Tabela_ogolne_nst[[#This Row],[sem1.forma]]="z"),8,AND(Tabela_ogolne_nst[[#This Row],[sem1.godziny]]&gt;=$I$195,Tabela_ogolne_nst[[#This Row],[sem1.forma]]="z"),4,AND(Tabela_ogolne_nst[[#This Row],[sem1.godziny]]&gt;=$H$195,Tabela_ogolne_nst[[#This Row],[sem1.forma]]="e"),2,AND(Tabela_ogolne_nst[[#This Row],[sem1.godziny]]&lt;$H$195,Tabela_ogolne_nst[[#This Row],[sem1.forma]]="e"),1,AND(Tabela_ogolne_nst[[#This Row],[sem1.godziny]]&gt;=$H$195,Tabela_ogolne_nst[[#This Row],[sem1.forma]]="z"),2,AND(Tabela_ogolne_nst[[#This Row],[sem1.godziny]]&lt;$H$195,Tabela_ogolne_nst[[#This Row],[sem1.forma]]="z"),1,TRUE,""),"")</f>
        <v/>
      </c>
      <c r="L24" s="356" t="str">
        <f>IF(Tabela_ogolne[[#This Row],[sem1.forma]]&lt;&gt;"",Tabela_ogolne[[#This Row],[sem1.forma]],"")</f>
        <v>b</v>
      </c>
      <c r="M24" s="357" t="str">
        <f>IF(Tabela_ogolne[[#This Row],[sem2.godziny]]&lt;&gt;"",IF(Tabela_ogolne[[#This Row],[sem2.godziny]]&gt;14,Tabela_ogolne[[#This Row],[sem2.godziny]]*0.6,Tabela_ogolne[[#This Row],[sem2.godziny]]),"")</f>
        <v/>
      </c>
      <c r="N24" s="357" t="str" cm="1">
        <f t="array" ref="N24">IF(Tabela_ogolne_nst[[#This Row],[czy.ects]]="TAK",_xlfn.IFS(AND(Tabela_ogolne_nst[[#This Row],[sem2.godziny]]&gt;=$Q$195,Tabela_ogolne_nst[[#This Row],[sem2.forma]]="z"),8,AND(Tabela_ogolne_nst[[#This Row],[sem2.godziny]]&gt;=$I$195,Tabela_ogolne_nst[[#This Row],[sem2.forma]]="z"),4,AND(Tabela_ogolne_nst[[#This Row],[sem2.godziny]]&gt;=$H$195,Tabela_ogolne_nst[[#This Row],[sem2.forma]]="e"),2,AND(Tabela_ogolne_nst[[#This Row],[sem2.godziny]]&lt;$H$195,Tabela_ogolne_nst[[#This Row],[sem2.forma]]="e"),1,AND(Tabela_ogolne_nst[[#This Row],[sem2.godziny]]&gt;=$H$195,Tabela_ogolne_nst[[#This Row],[sem2.forma]]="z"),2,AND(Tabela_ogolne_nst[[#This Row],[sem2.godziny]]&lt;$H$195,Tabela_ogolne_nst[[#This Row],[sem2.forma]]="z"),1,TRUE,""),"")</f>
        <v/>
      </c>
      <c r="O24" s="357" t="str">
        <f>IF(Tabela_ogolne[[#This Row],[sem2.forma]]&lt;&gt;"",Tabela_ogolne[[#This Row],[sem2.forma]],"")</f>
        <v/>
      </c>
      <c r="P24" s="358" t="str">
        <f>IF(Tabela_ogolne[[#This Row],[sem3.godziny]]&lt;&gt;"",IF(Tabela_ogolne[[#This Row],[sem3.godziny]]&gt;14,Tabela_ogolne[[#This Row],[sem3.godziny]]*0.6,Tabela_ogolne[[#This Row],[sem3.godziny]]),"")</f>
        <v/>
      </c>
      <c r="Q24" s="359" t="str" cm="1">
        <f t="array" ref="Q24">IF(Tabela_ogolne_nst[[#This Row],[czy.ects]]="TAK",_xlfn.IFS(AND(Tabela_ogolne_nst[[#This Row],[sem3.godziny]]&gt;=$Q$195,Tabela_ogolne_nst[[#This Row],[sem3.forma]]="z"),8,AND(Tabela_ogolne_nst[[#This Row],[sem3.godziny]]&gt;=$I$195,Tabela_ogolne_nst[[#This Row],[sem3.forma]]="z"),4,AND(Tabela_ogolne_nst[[#This Row],[sem3.godziny]]&gt;=$H$195,Tabela_ogolne_nst[[#This Row],[sem3.forma]]="e"),2,AND(Tabela_ogolne_nst[[#This Row],[sem3.godziny]]&lt;$H$195,Tabela_ogolne_nst[[#This Row],[sem3.forma]]="e"),1,AND(Tabela_ogolne_nst[[#This Row],[sem3.godziny]]&gt;=$H$195,Tabela_ogolne_nst[[#This Row],[sem3.forma]]="z"),2,AND(Tabela_ogolne_nst[[#This Row],[sem3.godziny]]&lt;$H$195,Tabela_ogolne_nst[[#This Row],[sem3.forma]]="z"),1,TRUE,""),"")</f>
        <v/>
      </c>
      <c r="R24" s="358" t="str">
        <f>IF(Tabela_ogolne[[#This Row],[sem3.forma]]&lt;&gt;"",Tabela_ogolne[[#This Row],[sem3.forma]],"")</f>
        <v/>
      </c>
      <c r="S24" s="355" t="str">
        <f>IF(Tabela_ogolne[[#This Row],[sem4.godziny]]&lt;&gt;"",IF(Tabela_ogolne[[#This Row],[sem4.godziny]]&gt;14,Tabela_ogolne[[#This Row],[sem4.godziny]]*0.6,Tabela_ogolne[[#This Row],[sem4.godziny]]),"")</f>
        <v/>
      </c>
      <c r="T24" s="355" t="str" cm="1">
        <f t="array" ref="T24">IF(Tabela_ogolne_nst[[#This Row],[czy.ects]]="TAK",_xlfn.IFS(AND(Tabela_ogolne_nst[[#This Row],[sem4.godziny]]&gt;=$Q$195,Tabela_ogolne_nst[[#This Row],[sem4.forma]]="z"),8,AND(Tabela_ogolne_nst[[#This Row],[sem4.godziny]]&gt;=$I$195,Tabela_ogolne_nst[[#This Row],[sem4.forma]]="z"),4,AND(Tabela_ogolne_nst[[#This Row],[sem4.godziny]]&gt;=$H$195,Tabela_ogolne_nst[[#This Row],[sem4.forma]]="e"),2,AND(Tabela_ogolne_nst[[#This Row],[sem4.godziny]]&lt;$H$195,Tabela_ogolne_nst[[#This Row],[sem4.forma]]="e"),1,AND(Tabela_ogolne_nst[[#This Row],[sem4.godziny]]&gt;=$H$195,Tabela_ogolne_nst[[#This Row],[sem4.forma]]="z"),2,AND(Tabela_ogolne_nst[[#This Row],[sem4.godziny]]&lt;$H$195,Tabela_ogolne_nst[[#This Row],[sem4.forma]]="z"),1,TRUE,""),"")</f>
        <v/>
      </c>
      <c r="U24" s="355" t="str">
        <f>IF(Tabela_ogolne[[#This Row],[sem4.forma]]&lt;&gt;"",Tabela_ogolne[[#This Row],[sem4.forma]],"")</f>
        <v/>
      </c>
      <c r="V24" s="180" t="str">
        <f>IF(Tabela_ogolne[[#This Row],[sem5.godziny]]&lt;&gt;"",IF(Tabela_ogolne[[#This Row],[sem5.godziny]]&gt;14,Tabela_ogolne[[#This Row],[sem5.godziny]]*0.6,Tabela_ogolne[[#This Row],[sem5.godziny]]),"")</f>
        <v/>
      </c>
      <c r="W24" s="180" t="str" cm="1">
        <f t="array" ref="W24">IF(Tabela_ogolne_nst[[#This Row],[czy.ects]]="TAK",_xlfn.IFS(AND(Tabela_ogolne_nst[[#This Row],[sem5.godziny]]&gt;=$Q$195,Tabela_ogolne_nst[[#This Row],[sem5.forma]]="z"),8,AND(Tabela_ogolne_nst[[#This Row],[sem5.godziny]]&gt;=$I$195,Tabela_ogolne_nst[[#This Row],[sem5.forma]]="z"),4,AND(Tabela_ogolne_nst[[#This Row],[sem5.godziny]]&gt;=$H$195,Tabela_ogolne_nst[[#This Row],[sem5.forma]]="e"),2,AND(Tabela_ogolne_nst[[#This Row],[sem5.godziny]]&lt;$H$195,Tabela_ogolne_nst[[#This Row],[sem5.forma]]="e"),1,AND(Tabela_ogolne_nst[[#This Row],[sem5.godziny]]&gt;=$H$195,Tabela_ogolne_nst[[#This Row],[sem5.forma]]="z"),2,AND(Tabela_ogolne_nst[[#This Row],[sem5.godziny]]&lt;$H$195,Tabela_ogolne_nst[[#This Row],[sem5.forma]]="z"),1,TRUE,""),"")</f>
        <v/>
      </c>
      <c r="X24" s="180" t="str">
        <f>IF(Tabela_ogolne[[#This Row],[sem5.forma]]&lt;&gt;"",Tabela_ogolne[[#This Row],[sem5.forma]],"")</f>
        <v/>
      </c>
      <c r="Y24" s="181" t="str">
        <f>IF(Tabela_ogolne[[#This Row],[sem6.godziny]]&lt;&gt;"",IF(Tabela_ogolne[[#This Row],[sem6.godziny]]&gt;14,Tabela_ogolne[[#This Row],[sem6.godziny]]*0.6,Tabela_ogolne[[#This Row],[sem6.godziny]]),"")</f>
        <v/>
      </c>
      <c r="Z24" s="181" t="str" cm="1">
        <f t="array" ref="Z24">IF(Tabela_ogolne_nst[[#This Row],[czy.ects]]="TAK",_xlfn.IFS(AND(Tabela_ogolne_nst[[#This Row],[sem6.godziny]]&gt;=$Q$195,Tabela_ogolne_nst[[#This Row],[sem6.forma]]="z"),8,AND(Tabela_ogolne_nst[[#This Row],[sem6.godziny]]&gt;=$I$195,Tabela_ogolne_nst[[#This Row],[sem6.forma]]="z"),4,AND(Tabela_ogolne_nst[[#This Row],[sem6.godziny]]&gt;=$H$195,Tabela_ogolne_nst[[#This Row],[sem6.forma]]="e"),2,AND(Tabela_ogolne_nst[[#This Row],[sem6.godziny]]&lt;$H$195,Tabela_ogolne_nst[[#This Row],[sem6.forma]]="e"),1,AND(Tabela_ogolne_nst[[#This Row],[sem6.godziny]]&gt;=$H$195,Tabela_ogolne_nst[[#This Row],[sem6.forma]]="z"),2,AND(Tabela_ogolne_nst[[#This Row],[sem6.godziny]]&lt;$H$195,Tabela_ogolne_nst[[#This Row],[sem6.forma]]="z"),1,TRUE,""),"")</f>
        <v/>
      </c>
      <c r="AA24" s="181" t="str">
        <f>IF(Tabela_ogolne[[#This Row],[sem6.forma]]&lt;&gt;"",Tabela_ogolne[[#This Row],[sem6.forma]],"")</f>
        <v/>
      </c>
      <c r="AB24" s="182" t="str">
        <f>IF(Tabela_ogolne[[#This Row],[sem7.godziny]]&lt;&gt;"",IF(Tabela_ogolne[[#This Row],[sem7.godziny]]&gt;14,Tabela_ogolne[[#This Row],[sem7.godziny]]*0.6,Tabela_ogolne[[#This Row],[sem7.godziny]]),"")</f>
        <v/>
      </c>
      <c r="AC24" s="182" t="str" cm="1">
        <f t="array" ref="AC24">IF(Tabela_ogolne_nst[[#This Row],[czy.ects]]="TAK",_xlfn.IFS(AND(Tabela_ogolne_nst[[#This Row],[sem7.godziny]]&gt;=$Q$195,Tabela_ogolne_nst[[#This Row],[sem7.forma]]="z"),8,AND(Tabela_ogolne_nst[[#This Row],[sem7.godziny]]&gt;=$I$195,Tabela_ogolne_nst[[#This Row],[sem7.forma]]="z"),4,AND(Tabela_ogolne_nst[[#This Row],[sem7.godziny]]&gt;=$H$195,Tabela_ogolne_nst[[#This Row],[sem7.forma]]="e"),2,AND(Tabela_ogolne_nst[[#This Row],[sem7.godziny]]&lt;$H$195,Tabela_ogolne_nst[[#This Row],[sem7.forma]]="e"),1,AND(Tabela_ogolne_nst[[#This Row],[sem7.godziny]]&gt;=$H$195,Tabela_ogolne_nst[[#This Row],[sem7.forma]]="z"),2,AND(Tabela_ogolne_nst[[#This Row],[sem7.godziny]]&lt;$H$195,Tabela_ogolne_nst[[#This Row],[sem7.forma]]="z"),1,TRUE,""),"")</f>
        <v/>
      </c>
      <c r="AD24" s="182" t="str">
        <f>IF(Tabela_ogolne[[#This Row],[sem7.forma]]&lt;&gt;"",Tabela_ogolne[[#This Row],[sem7.forma]],"")</f>
        <v/>
      </c>
      <c r="AE24" s="183" t="str">
        <f>IF(Tabela_ogolne[[#This Row],[sem8.godziny]]&lt;&gt;"",IF(Tabela_ogolne[[#This Row],[sem8.godziny]]&gt;14,Tabela_ogolne[[#This Row],[sem8.godziny]]*0.6,Tabela_ogolne[[#This Row],[sem8.godziny]]),"")</f>
        <v/>
      </c>
      <c r="AF24" s="183" t="str" cm="1">
        <f t="array" ref="AF24">IF(Tabela_ogolne_nst[[#This Row],[czy.ects]]="TAK",_xlfn.IFS(AND(Tabela_ogolne_nst[[#This Row],[sem8.godziny]]&gt;=$Q$195,Tabela_ogolne_nst[[#This Row],[sem8.forma]]="z"),8,AND(Tabela_ogolne_nst[[#This Row],[sem8.godziny]]&gt;=$I$195,Tabela_ogolne_nst[[#This Row],[sem8.forma]]="z"),4,AND(Tabela_ogolne_nst[[#This Row],[sem8.godziny]]&gt;=$H$195,Tabela_ogolne_nst[[#This Row],[sem8.forma]]="e"),2,AND(Tabela_ogolne_nst[[#This Row],[sem8.godziny]]&lt;$H$195,Tabela_ogolne_nst[[#This Row],[sem8.forma]]="e"),1,AND(Tabela_ogolne_nst[[#This Row],[sem8.godziny]]&gt;=$H$195,Tabela_ogolne_nst[[#This Row],[sem8.forma]]="z"),2,AND(Tabela_ogolne_nst[[#This Row],[sem8.godziny]]&lt;$H$195,Tabela_ogolne_nst[[#This Row],[sem8.forma]]="z"),1,TRUE,""),"")</f>
        <v/>
      </c>
      <c r="AG24" s="183" t="str">
        <f>IF(Tabela_ogolne[[#This Row],[sem8.forma]]&lt;&gt;"",Tabela_ogolne[[#This Row],[sem8.forma]],"")</f>
        <v/>
      </c>
      <c r="AH24" s="184" t="str">
        <f>IF(Tabela_ogolne[[#This Row],[sem9.godziny]]&lt;&gt;"",IF(Tabela_ogolne[[#This Row],[sem9.godziny]]&gt;14,Tabela_ogolne[[#This Row],[sem9.godziny]]*0.6,Tabela_ogolne[[#This Row],[sem9.godziny]]),"")</f>
        <v/>
      </c>
      <c r="AI24" s="184" t="str" cm="1">
        <f t="array" ref="AI24">IF(Tabela_ogolne_nst[[#This Row],[czy.ects]]="TAK",_xlfn.IFS(AND(Tabela_ogolne_nst[[#This Row],[sem9.godziny]]&gt;=$Q$195,Tabela_ogolne_nst[[#This Row],[sem9.forma]]="z"),8,AND(Tabela_ogolne_nst[[#This Row],[sem9.godziny]]&gt;=$I$195,Tabela_ogolne_nst[[#This Row],[sem9.forma]]="z"),4,AND(Tabela_ogolne_nst[[#This Row],[sem9.godziny]]&gt;=$H$195,Tabela_ogolne_nst[[#This Row],[sem9.forma]]="e"),2,AND(Tabela_ogolne_nst[[#This Row],[sem9.godziny]]&lt;$H$195,Tabela_ogolne_nst[[#This Row],[sem9.forma]]="e"),1,AND(Tabela_ogolne_nst[[#This Row],[sem9.godziny]]&gt;=$H$195,Tabela_ogolne_nst[[#This Row],[sem9.forma]]="z"),2,AND(Tabela_ogolne_nst[[#This Row],[sem9.godziny]]&lt;$H$195,Tabela_ogolne_nst[[#This Row],[sem9.forma]]="z"),1,TRUE,""),"")</f>
        <v/>
      </c>
      <c r="AJ24" s="184" t="str">
        <f>IF(Tabela_ogolne[[#This Row],[sem9.forma]]&lt;&gt;"",Tabela_ogolne[[#This Row],[sem9.forma]],"")</f>
        <v/>
      </c>
      <c r="AK24" s="185" t="str">
        <f>IF(Tabela_ogolne[[#This Row],[sem10.godziny]]&lt;&gt;"",IF(Tabela_ogolne[[#This Row],[sem10.godziny]]&gt;14,Tabela_ogolne[[#This Row],[sem10.godziny]]*0.6,Tabela_ogolne[[#This Row],[sem10.godziny]]),"")</f>
        <v/>
      </c>
      <c r="AL24" s="185" t="str" cm="1">
        <f t="array" ref="AL24">IF(Tabela_ogolne_nst[[#This Row],[czy.ects]]="TAK",_xlfn.IFS(AND(Tabela_ogolne_nst[[#This Row],[sem10.godziny]]&gt;=$Q$195,Tabela_ogolne_nst[[#This Row],[sem10.forma]]="z"),8,AND(Tabela_ogolne_nst[[#This Row],[sem10.godziny]]&gt;=$I$195,Tabela_ogolne_nst[[#This Row],[sem10.forma]]="z"),4,AND(Tabela_ogolne_nst[[#This Row],[sem10.godziny]]&gt;=$H$195,Tabela_ogolne_nst[[#This Row],[sem10.forma]]="e"),2,AND(Tabela_ogolne_nst[[#This Row],[sem10.godziny]]&lt;$H$195,Tabela_ogolne_nst[[#This Row],[sem10.forma]]="e"),1,AND(Tabela_ogolne_nst[[#This Row],[sem10.godziny]]&gt;=$H$195,Tabela_ogolne_nst[[#This Row],[sem10.forma]]="z"),2,AND(Tabela_ogolne_nst[[#This Row],[sem10.godziny]]&lt;$H$195,Tabela_ogolne_nst[[#This Row],[sem10.forma]]="z"),1,TRUE,""),"")</f>
        <v/>
      </c>
      <c r="AM24" s="185" t="str">
        <f>IF(Tabela_ogolne[[#This Row],[sem10.forma]]&lt;&gt;"",Tabela_ogolne[[#This Row],[sem10.forma]],"")</f>
        <v/>
      </c>
      <c r="AN24" s="93">
        <f>SUM(Tabela_ogolne_nst[[#This Row],[sem1.ects]],Tabela_ogolne_nst[[#This Row],[sem2.ects]],Tabela_ogolne_nst[[#This Row],[sem3.ects]],Tabela_ogolne_nst[[#This Row],[sem4.ects]],Tabela_ogolne_nst[[#This Row],[sem5.ects]],Tabela_ogolne_nst[[#This Row],[sem6.ects]],Tabela_ogolne_nst[[#This Row],[sem7.ects]],Tabela_ogolne_nst[[#This Row],[sem8.ects]],Tabela_ogolne_nst[[#This Row],[sem9.ects]],Tabela_ogolne_nst[[#This Row],[sem10.ects]])</f>
        <v>0</v>
      </c>
      <c r="AO24" s="94">
        <f>IF(ISERR(SEARCH("UP",Tabela_ogolne_nst[[#This Row],[Umiej.prakt.]],1)),0,Tabela_ogolne_nst[[#This Row],[ects.razem]])</f>
        <v>0</v>
      </c>
      <c r="AP24" s="95">
        <f>IF(Tabela_ogolne_nst[[#This Row],[czy.ects]]="TAK",ROUND((SUM(Tabela_ogolne_nst[[#This Row],[godziny.konsultacja]],Tabela_ogolne_nst[[#This Row],[godziny.egzamin]],Tabela_ogolne_nst[[#This Row],[godziny.zajec.razem]])/25)/0.5,0)*0.5,0)</f>
        <v>0</v>
      </c>
      <c r="AQ24" s="205">
        <f>SUM(Tabela_ogolne_nst[[#This Row],[godziny.samoksztalcenie]],Tabela_ogolne_nst[[#This Row],[godziny.konsultacja]],Tabela_ogolne_nst[[#This Row],[godziny.egzamin]],Tabela_ogolne_nst[[#This Row],[godziny.zajec.razem]])</f>
        <v>10</v>
      </c>
      <c r="AR24" s="316">
        <f>Tabela_ogolne[[#This Row],[godziny.samoksztalcenie]]+(Tabela_ogolne[[#This Row],[godziny.zajec.razem]]-Tabela_ogolne_nst[[#This Row],[godziny.zajec.razem]])</f>
        <v>3</v>
      </c>
      <c r="AS24" s="96">
        <f>Tabela_ogolne[[#This Row],[godziny.konsultacja]]</f>
        <v>0</v>
      </c>
      <c r="AT24" s="317">
        <f>Tabela_ogolne[[#This Row],[godziny.egzamin]]</f>
        <v>2</v>
      </c>
      <c r="AU24" s="97">
        <f>SUM(Tabela_ogolne_nst[[#This Row],[sem1.godziny]],Tabela_ogolne_nst[[#This Row],[sem2.godziny]],Tabela_ogolne_nst[[#This Row],[sem3.godziny]],Tabela_ogolne_nst[[#This Row],[sem4.godziny]],Tabela_ogolne_nst[[#This Row],[sem5.godziny]],Tabela_ogolne_nst[[#This Row],[sem6.godziny]],Tabela_ogolne_nst[[#This Row],[sem7.godziny]],Tabela_ogolne_nst[[#This Row],[sem8.godziny]],Tabela_ogolne_nst[[#This Row],[sem9.godziny]],Tabela_ogolne_nst[[#This Row],[sem10.godziny]])</f>
        <v>5</v>
      </c>
      <c r="AV24" s="206">
        <f>IF(Tabela_ogolne_nst[[#This Row],[ects.bezposr.nauczyciel]],Tabela_ogolne_nst[[#This Row],[ects.bezposr.nauczyciel]]/Tabela_ogolne_nst[[#This Row],[ects.razem]],0)</f>
        <v>0</v>
      </c>
      <c r="AW24" s="49"/>
    </row>
    <row r="25" spans="1:49" ht="7.5" customHeight="1" thickBot="1" x14ac:dyDescent="0.35">
      <c r="A25" s="207"/>
      <c r="B25" s="57"/>
      <c r="C25" s="58"/>
      <c r="D25" s="58"/>
      <c r="E25" s="58"/>
      <c r="F25" s="213"/>
      <c r="G25" s="214"/>
      <c r="H25" s="59"/>
      <c r="I25" s="60"/>
      <c r="J25" s="61"/>
      <c r="K25" s="52"/>
      <c r="L25" s="61"/>
      <c r="M25" s="62"/>
      <c r="N25" s="53"/>
      <c r="O25" s="62"/>
      <c r="P25" s="63"/>
      <c r="Q25" s="54"/>
      <c r="R25" s="63"/>
      <c r="S25" s="64"/>
      <c r="T25" s="55"/>
      <c r="U25" s="64"/>
      <c r="V25" s="65"/>
      <c r="W25" s="65"/>
      <c r="X25" s="65"/>
      <c r="Y25" s="66"/>
      <c r="Z25" s="66"/>
      <c r="AA25" s="66"/>
      <c r="AB25" s="67"/>
      <c r="AC25" s="67"/>
      <c r="AD25" s="67"/>
      <c r="AE25" s="68"/>
      <c r="AF25" s="69"/>
      <c r="AG25" s="70"/>
      <c r="AH25" s="215"/>
      <c r="AI25" s="71"/>
      <c r="AJ25" s="72"/>
      <c r="AK25" s="61"/>
      <c r="AL25" s="73"/>
      <c r="AM25" s="74"/>
      <c r="AN25" s="49"/>
      <c r="AO25" s="207"/>
      <c r="AP25" s="207"/>
      <c r="AQ25" s="207"/>
      <c r="AR25" s="207"/>
      <c r="AS25" s="207"/>
      <c r="AT25" s="207"/>
      <c r="AU25" s="207"/>
      <c r="AV25" s="207"/>
      <c r="AW25" s="207"/>
    </row>
    <row r="26" spans="1:49" ht="19.5" customHeight="1" thickBot="1" x14ac:dyDescent="0.35">
      <c r="A26" s="207"/>
      <c r="B26" s="784" t="str">
        <f>'PLAN ST'!B26</f>
        <v>PRZEDMIOTY PODSTAWOWE</v>
      </c>
      <c r="C26" s="785"/>
      <c r="D26" s="785"/>
      <c r="E26" s="785"/>
      <c r="F26" s="785"/>
      <c r="G26" s="785"/>
      <c r="H26" s="75"/>
      <c r="I26" s="75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7"/>
      <c r="AW26" s="49"/>
    </row>
    <row r="27" spans="1:49" ht="25.5" customHeight="1" thickBot="1" x14ac:dyDescent="0.35">
      <c r="A27" s="207"/>
      <c r="B27" s="786" t="str">
        <f>'PLAN ST'!B27</f>
        <v>RAZEM W GRUPIE PRZEDMIOTÓW PODSTAWOWYCH</v>
      </c>
      <c r="C27" s="787"/>
      <c r="D27" s="787"/>
      <c r="E27" s="787"/>
      <c r="F27" s="787"/>
      <c r="G27" s="787"/>
      <c r="H27" s="787"/>
      <c r="I27" s="788"/>
      <c r="J27" s="98">
        <f>SUM(Tabela_podst_nst[sem1.godziny])</f>
        <v>117</v>
      </c>
      <c r="K27" s="98">
        <f>SUM(Tabela_podst_nst[sem1.ects])</f>
        <v>18</v>
      </c>
      <c r="L27" s="98"/>
      <c r="M27" s="98">
        <f>SUM(Tabela_podst_nst[sem2.godziny])</f>
        <v>36</v>
      </c>
      <c r="N27" s="98">
        <f>SUM(Tabela_podst_nst[sem2.ects])</f>
        <v>5</v>
      </c>
      <c r="O27" s="98"/>
      <c r="P27" s="98">
        <f>SUM(Tabela_podst_nst[sem3.godziny])</f>
        <v>0</v>
      </c>
      <c r="Q27" s="98">
        <f>SUM(Tabela_podst_nst[sem3.ects])</f>
        <v>0</v>
      </c>
      <c r="R27" s="98"/>
      <c r="S27" s="98">
        <f>SUM(Tabela_podst_nst[sem4.godziny])</f>
        <v>0</v>
      </c>
      <c r="T27" s="98">
        <f>SUM(Tabela_podst_nst[sem4.ects])</f>
        <v>0</v>
      </c>
      <c r="U27" s="98"/>
      <c r="V27" s="98">
        <f>SUM(Tabela_podst_nst[sem5.godziny])</f>
        <v>18</v>
      </c>
      <c r="W27" s="98">
        <f>SUM(Tabela_podst_nst[sem5.ects])</f>
        <v>2</v>
      </c>
      <c r="X27" s="98"/>
      <c r="Y27" s="98">
        <f>SUM(Tabela_podst_nst[sem6.godziny])</f>
        <v>0</v>
      </c>
      <c r="Z27" s="98">
        <f>SUM(Tabela_podst_nst[sem6.ects])</f>
        <v>0</v>
      </c>
      <c r="AA27" s="98"/>
      <c r="AB27" s="98">
        <f>SUM(Tabela_podst_nst[sem7.godziny])</f>
        <v>0</v>
      </c>
      <c r="AC27" s="98">
        <f>SUM(Tabela_podst_nst[sem7.ects])</f>
        <v>0</v>
      </c>
      <c r="AD27" s="98"/>
      <c r="AE27" s="98">
        <f>SUM(Tabela_podst_nst[sem8.godziny])</f>
        <v>0</v>
      </c>
      <c r="AF27" s="98">
        <f>SUM(Tabela_podst_nst[sem8.ects])</f>
        <v>0</v>
      </c>
      <c r="AG27" s="98"/>
      <c r="AH27" s="98">
        <f>SUM(Tabela_podst_nst[sem9.godziny])</f>
        <v>0</v>
      </c>
      <c r="AI27" s="98">
        <f>SUM(Tabela_podst_nst[sem9.ects])</f>
        <v>0</v>
      </c>
      <c r="AJ27" s="98"/>
      <c r="AK27" s="98">
        <f>SUM(Tabela_podst_nst[sem10.godziny])</f>
        <v>0</v>
      </c>
      <c r="AL27" s="98">
        <f>SUM(Tabela_podst_nst[sem10.ects])</f>
        <v>0</v>
      </c>
      <c r="AM27" s="98"/>
      <c r="AN27" s="98">
        <f>SUM(Tabela_podst_nst[ects.razem])</f>
        <v>25</v>
      </c>
      <c r="AO27" s="98">
        <f>SUM(Tabela_podst_nst[ects.umiej.prakt.])</f>
        <v>6</v>
      </c>
      <c r="AP27" s="98">
        <f>SUM(Tabela_podst_nst[ects.bezposr.nauczyciel])</f>
        <v>9.5</v>
      </c>
      <c r="AQ27" s="98">
        <f>SUM(Tabela_podst_nst[godziny.razem.student])</f>
        <v>501</v>
      </c>
      <c r="AR27" s="98">
        <f>SUM(Tabela_podst_nst[godziny.samoksztalcenie])</f>
        <v>279</v>
      </c>
      <c r="AS27" s="98">
        <f>SUM(Tabela_podst_nst[godziny.konsultacja])</f>
        <v>25</v>
      </c>
      <c r="AT27" s="98">
        <f>SUM(Tabela_podst_nst[godziny.egzamin])</f>
        <v>26</v>
      </c>
      <c r="AU27" s="98">
        <f>SUM(Tabela_podst_nst[godziny.zajec.razem])</f>
        <v>171</v>
      </c>
      <c r="AV27" s="6"/>
      <c r="AW27" s="49"/>
    </row>
    <row r="28" spans="1:49" ht="25.5" hidden="1" customHeight="1" x14ac:dyDescent="0.3">
      <c r="A28" s="207"/>
      <c r="B28" s="198" t="s">
        <v>374</v>
      </c>
      <c r="C28" s="148" t="s">
        <v>373</v>
      </c>
      <c r="D28" s="196" t="s">
        <v>372</v>
      </c>
      <c r="E28" s="196" t="s">
        <v>371</v>
      </c>
      <c r="F28" s="318" t="s">
        <v>368</v>
      </c>
      <c r="G28" s="319" t="s">
        <v>369</v>
      </c>
      <c r="H28" s="153" t="s">
        <v>370</v>
      </c>
      <c r="I28" s="154" t="s">
        <v>375</v>
      </c>
      <c r="J28" s="259" t="s">
        <v>376</v>
      </c>
      <c r="K28" s="259" t="s">
        <v>377</v>
      </c>
      <c r="L28" s="271" t="s">
        <v>378</v>
      </c>
      <c r="M28" s="260" t="s">
        <v>379</v>
      </c>
      <c r="N28" s="260" t="s">
        <v>380</v>
      </c>
      <c r="O28" s="260" t="s">
        <v>381</v>
      </c>
      <c r="P28" s="320" t="s">
        <v>382</v>
      </c>
      <c r="Q28" s="261" t="s">
        <v>383</v>
      </c>
      <c r="R28" s="320" t="s">
        <v>384</v>
      </c>
      <c r="S28" s="262" t="s">
        <v>385</v>
      </c>
      <c r="T28" s="262" t="s">
        <v>386</v>
      </c>
      <c r="U28" s="262" t="s">
        <v>387</v>
      </c>
      <c r="V28" s="263" t="s">
        <v>388</v>
      </c>
      <c r="W28" s="263" t="s">
        <v>389</v>
      </c>
      <c r="X28" s="263" t="s">
        <v>390</v>
      </c>
      <c r="Y28" s="264" t="s">
        <v>391</v>
      </c>
      <c r="Z28" s="264" t="s">
        <v>392</v>
      </c>
      <c r="AA28" s="264" t="s">
        <v>393</v>
      </c>
      <c r="AB28" s="265" t="s">
        <v>394</v>
      </c>
      <c r="AC28" s="265" t="s">
        <v>395</v>
      </c>
      <c r="AD28" s="265" t="s">
        <v>396</v>
      </c>
      <c r="AE28" s="321" t="s">
        <v>409</v>
      </c>
      <c r="AF28" s="321" t="s">
        <v>410</v>
      </c>
      <c r="AG28" s="321" t="s">
        <v>411</v>
      </c>
      <c r="AH28" s="322" t="s">
        <v>412</v>
      </c>
      <c r="AI28" s="322" t="s">
        <v>413</v>
      </c>
      <c r="AJ28" s="322" t="s">
        <v>414</v>
      </c>
      <c r="AK28" s="323" t="s">
        <v>415</v>
      </c>
      <c r="AL28" s="323" t="s">
        <v>416</v>
      </c>
      <c r="AM28" s="323" t="s">
        <v>417</v>
      </c>
      <c r="AN28" s="324" t="s">
        <v>397</v>
      </c>
      <c r="AO28" s="266" t="s">
        <v>398</v>
      </c>
      <c r="AP28" s="267" t="s">
        <v>399</v>
      </c>
      <c r="AQ28" s="268" t="s">
        <v>400</v>
      </c>
      <c r="AR28" s="269" t="s">
        <v>401</v>
      </c>
      <c r="AS28" s="270" t="s">
        <v>402</v>
      </c>
      <c r="AT28" s="271" t="s">
        <v>403</v>
      </c>
      <c r="AU28" s="325" t="s">
        <v>404</v>
      </c>
      <c r="AV28" s="272" t="s">
        <v>405</v>
      </c>
      <c r="AW28" s="49"/>
    </row>
    <row r="29" spans="1:49" ht="25.5" customHeight="1" x14ac:dyDescent="0.3">
      <c r="A29" s="207"/>
      <c r="B29" s="307" t="str">
        <f>IF(Tabela_podst[[#This Row],[kod.isced]]&lt;&gt;"",Tabela_podst[[#This Row],[kod.isced]],"")</f>
        <v>0311</v>
      </c>
      <c r="C29" s="193">
        <f>IF(Tabela_podst[[#This Row],[kod.dziedziny]]&lt;&gt;"",Tabela_podst[[#This Row],[kod.dziedziny]],"")</f>
        <v>501</v>
      </c>
      <c r="D29" s="193" t="str">
        <f>IF(Tabela_podst[[#This Row],[Modul]]&lt;&gt;"",Tabela_podst[[#This Row],[Modul]],"")</f>
        <v>pd.01.1</v>
      </c>
      <c r="E29" s="193" t="str">
        <f>IF(Tabela_podst[[#This Row],[Umiej.prakt.]]&lt;&gt;"",Tabela_podst[[#This Row],[Umiej.prakt.]],"")</f>
        <v/>
      </c>
      <c r="F29" s="308" t="str">
        <f>IF(Tabela_podst[[#This Row],[Nazwa przedmiotu]]&lt;&gt;"",Tabela_podst[[#This Row],[Nazwa przedmiotu]],"")</f>
        <v>Makroekonomia</v>
      </c>
      <c r="G29" s="309" t="str">
        <f>IF(Tabela_podst[[#This Row],[Prowadzacy]]&lt;&gt;"",Tabela_podst[[#This Row],[Prowadzacy]],"")</f>
        <v/>
      </c>
      <c r="H29" s="155" t="str">
        <f>IF(Tabela_podst[[#This Row],[Forma]]&lt;&gt;"",Tabela_podst[[#This Row],[Forma]],"")</f>
        <v>wykład</v>
      </c>
      <c r="I29" s="156" t="str">
        <f>IF(Tabela_podst[[#This Row],[czy.ects]]&lt;&gt;"",Tabela_podst[[#This Row],[czy.ects]],"")</f>
        <v>TAK</v>
      </c>
      <c r="J29" s="356">
        <f>IF(Tabela_podst[[#This Row],[sem1.godziny]]&lt;&gt;"",IF(Tabela_podst[[#This Row],[sem1.godziny]]&gt;14,Tabela_podst[[#This Row],[sem1.godziny]]*0.6,Tabela_podst[[#This Row],[sem1.godziny]]),"")</f>
        <v>9</v>
      </c>
      <c r="K29" s="356" cm="1">
        <f t="array" ref="K29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>1</v>
      </c>
      <c r="L29" s="356" t="str">
        <f>IF(Tabela_podst[[#This Row],[sem1.forma]]&lt;&gt;"",Tabela_podst[[#This Row],[sem1.forma]],"")</f>
        <v>e</v>
      </c>
      <c r="M29" s="357" t="str">
        <f>IF(Tabela_podst[[#This Row],[sem2.godziny]]&lt;&gt;"",IF(Tabela_podst[[#This Row],[sem2.godziny]]&gt;14,Tabela_podst[[#This Row],[sem2.godziny]]*0.6,Tabela_podst[[#This Row],[sem2.godziny]]),"")</f>
        <v/>
      </c>
      <c r="N29" s="357" t="str" cm="1">
        <f t="array" ref="N29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29" s="357" t="str">
        <f>IF(Tabela_podst[[#This Row],[sem2.forma]]&lt;&gt;"",Tabela_podst[[#This Row],[sem2.forma]],"")</f>
        <v/>
      </c>
      <c r="P29" s="358" t="str">
        <f>IF(Tabela_podst[[#This Row],[sem3.godziny]]&lt;&gt;"",IF(Tabela_podst[[#This Row],[sem3.godziny]]&gt;14,Tabela_podst[[#This Row],[sem3.godziny]]*0.6,Tabela_podst[[#This Row],[sem3.godziny]]),"")</f>
        <v/>
      </c>
      <c r="Q29" s="359" t="str" cm="1">
        <f t="array" ref="Q29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29" s="358" t="str">
        <f>IF(Tabela_podst[[#This Row],[sem3.forma]]&lt;&gt;"",Tabela_podst[[#This Row],[sem3.forma]],"")</f>
        <v/>
      </c>
      <c r="S29" s="355" t="str">
        <f>IF(Tabela_podst[[#This Row],[sem4.godziny]]&lt;&gt;"",IF(Tabela_podst[[#This Row],[sem4.godziny]]&gt;14,Tabela_podst[[#This Row],[sem4.godziny]]*0.6,Tabela_podst[[#This Row],[sem4.godziny]]),"")</f>
        <v/>
      </c>
      <c r="T29" s="355" t="str" cm="1">
        <f t="array" ref="T29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29" s="355" t="str">
        <f>IF(Tabela_podst[[#This Row],[sem4.forma]]&lt;&gt;"",Tabela_podst[[#This Row],[sem4.forma]],"")</f>
        <v/>
      </c>
      <c r="V29" s="216" t="str">
        <f>IF(Tabela_podst[[#This Row],[sem5.godziny]]&lt;&gt;"",IF(Tabela_podst[[#This Row],[sem5.godziny]]&gt;14,Tabela_podst[[#This Row],[sem5.godziny]]*0.6,Tabela_podst[[#This Row],[sem5.godziny]]),"")</f>
        <v/>
      </c>
      <c r="W29" s="216" t="str" cm="1">
        <f t="array" ref="W29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29" s="216" t="str">
        <f>IF(Tabela_podst[[#This Row],[sem5.forma]]&lt;&gt;"",Tabela_podst[[#This Row],[sem5.forma]],"")</f>
        <v/>
      </c>
      <c r="Y29" s="217" t="str">
        <f>IF(Tabela_podst[[#This Row],[sem6.godziny]]&lt;&gt;"",IF(Tabela_podst[[#This Row],[sem6.godziny]]&gt;14,Tabela_podst[[#This Row],[sem6.godziny]]*0.6,Tabela_podst[[#This Row],[sem6.godziny]]),"")</f>
        <v/>
      </c>
      <c r="Z29" s="217" t="str" cm="1">
        <f t="array" ref="Z29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29" s="217" t="str">
        <f>IF(Tabela_podst[[#This Row],[sem6.forma]]&lt;&gt;"",Tabela_podst[[#This Row],[sem6.forma]],"")</f>
        <v/>
      </c>
      <c r="AB29" s="218" t="str">
        <f>IF(Tabela_podst[[#This Row],[sem7.godziny]]&lt;&gt;"",IF(Tabela_podst[[#This Row],[sem7.godziny]]&gt;14,Tabela_podst[[#This Row],[sem7.godziny]]*0.6,Tabela_podst[[#This Row],[sem7.godziny]]),"")</f>
        <v/>
      </c>
      <c r="AC29" s="218" t="str" cm="1">
        <f t="array" ref="AC29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29" s="218" t="str">
        <f>IF(Tabela_podst[[#This Row],[sem7.forma]]&lt;&gt;"",Tabela_podst[[#This Row],[sem7.forma]],"")</f>
        <v/>
      </c>
      <c r="AE29" s="219" t="str">
        <f>IF(Tabela_podst[[#This Row],[sem8.godziny]]&lt;&gt;"",IF(Tabela_podst[[#This Row],[sem8.godziny]]&gt;14,Tabela_podst[[#This Row],[sem8.godziny]]*0.6,Tabela_podst[[#This Row],[sem8.godziny]]),"")</f>
        <v/>
      </c>
      <c r="AF29" s="219" t="str" cm="1">
        <f t="array" ref="AF29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29" s="219" t="str">
        <f>IF(Tabela_podst[[#This Row],[sem8.forma]]&lt;&gt;"",Tabela_podst[[#This Row],[sem8.forma]],"")</f>
        <v/>
      </c>
      <c r="AH29" s="220" t="str">
        <f>IF(Tabela_podst[[#This Row],[sem9.godziny]]&lt;&gt;"",IF(Tabela_podst[[#This Row],[sem9.godziny]]&gt;14,Tabela_podst[[#This Row],[sem9.godziny]]*0.6,Tabela_podst[[#This Row],[sem9.godziny]]),"")</f>
        <v/>
      </c>
      <c r="AI29" s="220" t="str" cm="1">
        <f t="array" ref="AI29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29" s="220" t="str">
        <f>IF(Tabela_podst[[#This Row],[sem9.forma]]&lt;&gt;"",Tabela_podst[[#This Row],[sem9.forma]],"")</f>
        <v/>
      </c>
      <c r="AK29" s="221" t="str">
        <f>IF(Tabela_podst[[#This Row],[sem10.godziny]]&lt;&gt;"",IF(Tabela_podst[[#This Row],[sem10.godziny]]&gt;14,Tabela_podst[[#This Row],[sem10.godziny]]*0.6,Tabela_podst[[#This Row],[sem10.godziny]]),"")</f>
        <v/>
      </c>
      <c r="AL29" s="221" t="str" cm="1">
        <f t="array" ref="AL29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29" s="221" t="str">
        <f>IF(Tabela_podst[[#This Row],[sem10.forma]]&lt;&gt;"",Tabela_podst[[#This Row],[sem10.forma]],"")</f>
        <v/>
      </c>
      <c r="AN29" s="222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29" s="223">
        <f>IF(ISERR(SEARCH("UP",Tabela_podst_nst[[#This Row],[Umiej.prakt.]],1)),0,Tabela_podst_nst[[#This Row],[ects.razem]])</f>
        <v>0</v>
      </c>
      <c r="AP29" s="224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29" s="225">
        <f>SUM(Tabela_podst_nst[[#This Row],[godziny.samoksztalcenie]],Tabela_podst_nst[[#This Row],[godziny.konsultacja]],Tabela_podst_nst[[#This Row],[godziny.egzamin]],Tabela_podst_nst[[#This Row],[godziny.zajec.razem]])</f>
        <v>27</v>
      </c>
      <c r="AR29" s="226">
        <f>Tabela_podst[[#This Row],[godziny.samoksztalcenie]]+(Tabela_podst[[#This Row],[godziny.zajec.razem]]-Tabela_podst_nst[[#This Row],[godziny.zajec.razem]])</f>
        <v>15</v>
      </c>
      <c r="AS29" s="227">
        <f>Tabela_podst[[#This Row],[godziny.konsultacja]]</f>
        <v>1</v>
      </c>
      <c r="AT29" s="228">
        <f>Tabela_podst[[#This Row],[godziny.egzamin]]</f>
        <v>2</v>
      </c>
      <c r="AU29" s="229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29" s="326">
        <f>IF(Tabela_podst_nst[[#This Row],[ects.bezposr.nauczyciel]],Tabela_podst_nst[[#This Row],[ects.bezposr.nauczyciel]]/Tabela_podst_nst[[#This Row],[ects.razem]],0)</f>
        <v>0.5</v>
      </c>
      <c r="AW29" s="49"/>
    </row>
    <row r="30" spans="1:49" ht="25.5" customHeight="1" x14ac:dyDescent="0.3">
      <c r="A30" s="207"/>
      <c r="B30" s="436" t="str">
        <f>IF(Tabela_podst[[#This Row],[kod.isced]]&lt;&gt;"",Tabela_podst[[#This Row],[kod.isced]],"")</f>
        <v>0311</v>
      </c>
      <c r="C30" s="437">
        <f>IF(Tabela_podst[[#This Row],[kod.dziedziny]]&lt;&gt;"",Tabela_podst[[#This Row],[kod.dziedziny]],"")</f>
        <v>501</v>
      </c>
      <c r="D30" s="437" t="str">
        <f>IF(Tabela_podst[[#This Row],[Modul]]&lt;&gt;"",Tabela_podst[[#This Row],[Modul]],"")</f>
        <v>pd.01.2</v>
      </c>
      <c r="E30" s="437" t="str">
        <f>IF(Tabela_podst[[#This Row],[Umiej.prakt.]]&lt;&gt;"",Tabela_podst[[#This Row],[Umiej.prakt.]],"")</f>
        <v/>
      </c>
      <c r="F30" s="438" t="str">
        <f>IF(Tabela_podst[[#This Row],[Nazwa przedmiotu]]&lt;&gt;"",Tabela_podst[[#This Row],[Nazwa przedmiotu]],"")</f>
        <v>Makroekonomia</v>
      </c>
      <c r="G30" s="439" t="str">
        <f>IF(Tabela_podst[[#This Row],[Prowadzacy]]&lt;&gt;"",Tabela_podst[[#This Row],[Prowadzacy]],"")</f>
        <v/>
      </c>
      <c r="H30" s="440" t="str">
        <f>IF(Tabela_podst[[#This Row],[Forma]]&lt;&gt;"",Tabela_podst[[#This Row],[Forma]],"")</f>
        <v>ćwiczenia</v>
      </c>
      <c r="I30" s="441" t="str">
        <f>IF(Tabela_podst[[#This Row],[czy.ects]]&lt;&gt;"",Tabela_podst[[#This Row],[czy.ects]],"")</f>
        <v>TAK</v>
      </c>
      <c r="J30" s="369">
        <f>IF(Tabela_podst[[#This Row],[sem1.godziny]]&lt;&gt;"",IF(Tabela_podst[[#This Row],[sem1.godziny]]&gt;14,Tabela_podst[[#This Row],[sem1.godziny]]*0.6,Tabela_podst[[#This Row],[sem1.godziny]]),"")</f>
        <v>18</v>
      </c>
      <c r="K30" s="369">
        <v>3</v>
      </c>
      <c r="L30" s="369" t="str">
        <f>IF(Tabela_podst[[#This Row],[sem1.forma]]&lt;&gt;"",Tabela_podst[[#This Row],[sem1.forma]],"")</f>
        <v>z</v>
      </c>
      <c r="M30" s="371" t="str">
        <f>IF(Tabela_podst[[#This Row],[sem2.godziny]]&lt;&gt;"",IF(Tabela_podst[[#This Row],[sem2.godziny]]&gt;14,Tabela_podst[[#This Row],[sem2.godziny]]*0.6,Tabela_podst[[#This Row],[sem2.godziny]]),"")</f>
        <v/>
      </c>
      <c r="N30" s="371" t="str" cm="1">
        <f t="array" ref="N30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0" s="371" t="str">
        <f>IF(Tabela_podst[[#This Row],[sem2.forma]]&lt;&gt;"",Tabela_podst[[#This Row],[sem2.forma]],"")</f>
        <v/>
      </c>
      <c r="P30" s="677" t="str">
        <f>IF(Tabela_podst[[#This Row],[sem3.godziny]]&lt;&gt;"",IF(Tabela_podst[[#This Row],[sem3.godziny]]&gt;14,Tabela_podst[[#This Row],[sem3.godziny]]*0.6,Tabela_podst[[#This Row],[sem3.godziny]]),"")</f>
        <v/>
      </c>
      <c r="Q30" s="373" t="str" cm="1">
        <f t="array" ref="Q30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0" s="677" t="str">
        <f>IF(Tabela_podst[[#This Row],[sem3.forma]]&lt;&gt;"",Tabela_podst[[#This Row],[sem3.forma]],"")</f>
        <v/>
      </c>
      <c r="S30" s="375" t="str">
        <f>IF(Tabela_podst[[#This Row],[sem4.godziny]]&lt;&gt;"",IF(Tabela_podst[[#This Row],[sem4.godziny]]&gt;14,Tabela_podst[[#This Row],[sem4.godziny]]*0.6,Tabela_podst[[#This Row],[sem4.godziny]]),"")</f>
        <v/>
      </c>
      <c r="T30" s="375" t="str" cm="1">
        <f t="array" ref="T30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0" s="375" t="str">
        <f>IF(Tabela_podst[[#This Row],[sem4.forma]]&lt;&gt;"",Tabela_podst[[#This Row],[sem4.forma]],"")</f>
        <v/>
      </c>
      <c r="V30" s="377" t="str">
        <f>IF(Tabela_podst[[#This Row],[sem5.godziny]]&lt;&gt;"",IF(Tabela_podst[[#This Row],[sem5.godziny]]&gt;14,Tabela_podst[[#This Row],[sem5.godziny]]*0.6,Tabela_podst[[#This Row],[sem5.godziny]]),"")</f>
        <v/>
      </c>
      <c r="W30" s="377" t="str" cm="1">
        <f t="array" ref="W30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0" s="377" t="str">
        <f>IF(Tabela_podst[[#This Row],[sem5.forma]]&lt;&gt;"",Tabela_podst[[#This Row],[sem5.forma]],"")</f>
        <v/>
      </c>
      <c r="Y30" s="379" t="str">
        <f>IF(Tabela_podst[[#This Row],[sem6.godziny]]&lt;&gt;"",IF(Tabela_podst[[#This Row],[sem6.godziny]]&gt;14,Tabela_podst[[#This Row],[sem6.godziny]]*0.6,Tabela_podst[[#This Row],[sem6.godziny]]),"")</f>
        <v/>
      </c>
      <c r="Z30" s="379" t="str" cm="1">
        <f t="array" ref="Z30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0" s="379" t="str">
        <f>IF(Tabela_podst[[#This Row],[sem6.forma]]&lt;&gt;"",Tabela_podst[[#This Row],[sem6.forma]],"")</f>
        <v/>
      </c>
      <c r="AB30" s="381" t="str">
        <f>IF(Tabela_podst[[#This Row],[sem7.godziny]]&lt;&gt;"",IF(Tabela_podst[[#This Row],[sem7.godziny]]&gt;14,Tabela_podst[[#This Row],[sem7.godziny]]*0.6,Tabela_podst[[#This Row],[sem7.godziny]]),"")</f>
        <v/>
      </c>
      <c r="AC30" s="381" t="str" cm="1">
        <f t="array" ref="AC30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0" s="381" t="str">
        <f>IF(Tabela_podst[[#This Row],[sem7.forma]]&lt;&gt;"",Tabela_podst[[#This Row],[sem7.forma]],"")</f>
        <v/>
      </c>
      <c r="AE30" s="383" t="str">
        <f>IF(Tabela_podst[[#This Row],[sem8.godziny]]&lt;&gt;"",IF(Tabela_podst[[#This Row],[sem8.godziny]]&gt;14,Tabela_podst[[#This Row],[sem8.godziny]]*0.6,Tabela_podst[[#This Row],[sem8.godziny]]),"")</f>
        <v/>
      </c>
      <c r="AF30" s="383" t="str" cm="1">
        <f t="array" ref="AF30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0" s="383" t="str">
        <f>IF(Tabela_podst[[#This Row],[sem8.forma]]&lt;&gt;"",Tabela_podst[[#This Row],[sem8.forma]],"")</f>
        <v/>
      </c>
      <c r="AH30" s="385" t="str">
        <f>IF(Tabela_podst[[#This Row],[sem9.godziny]]&lt;&gt;"",IF(Tabela_podst[[#This Row],[sem9.godziny]]&gt;14,Tabela_podst[[#This Row],[sem9.godziny]]*0.6,Tabela_podst[[#This Row],[sem9.godziny]]),"")</f>
        <v/>
      </c>
      <c r="AI30" s="385" t="str" cm="1">
        <f t="array" ref="AI30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0" s="385" t="str">
        <f>IF(Tabela_podst[[#This Row],[sem9.forma]]&lt;&gt;"",Tabela_podst[[#This Row],[sem9.forma]],"")</f>
        <v/>
      </c>
      <c r="AK30" s="387" t="str">
        <f>IF(Tabela_podst[[#This Row],[sem10.godziny]]&lt;&gt;"",IF(Tabela_podst[[#This Row],[sem10.godziny]]&gt;14,Tabela_podst[[#This Row],[sem10.godziny]]*0.6,Tabela_podst[[#This Row],[sem10.godziny]]),"")</f>
        <v/>
      </c>
      <c r="AL30" s="387" t="str" cm="1">
        <f t="array" ref="AL30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0" s="387" t="str">
        <f>IF(Tabela_podst[[#This Row],[sem10.forma]]&lt;&gt;"",Tabela_podst[[#This Row],[sem10.forma]],"")</f>
        <v/>
      </c>
      <c r="AN30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3</v>
      </c>
      <c r="AO30" s="389">
        <f>IF(ISERR(SEARCH("UP",Tabela_podst_nst[[#This Row],[Umiej.prakt.]],1)),0,Tabela_podst_nst[[#This Row],[ects.razem]])</f>
        <v>0</v>
      </c>
      <c r="AP30" s="390">
        <f>IF(Tabela_podst_nst[[#This Row],[czy.ects]]="TAK",ROUND((SUM(Tabela_podst_nst[[#This Row],[godziny.konsultacja]],Tabela_podst_nst[[#This Row],[godziny.egzamin]],Tabela_podst_nst[[#This Row],[godziny.zajec.razem]])/25)/0.5,0)*0.5,0)</f>
        <v>1</v>
      </c>
      <c r="AQ30" s="391">
        <f>SUM(Tabela_podst_nst[[#This Row],[godziny.samoksztalcenie]],Tabela_podst_nst[[#This Row],[godziny.konsultacja]],Tabela_podst_nst[[#This Row],[godziny.egzamin]],Tabela_podst_nst[[#This Row],[godziny.zajec.razem]])</f>
        <v>52</v>
      </c>
      <c r="AR30" s="392">
        <f>Tabela_podst[[#This Row],[godziny.samoksztalcenie]]+(Tabela_podst[[#This Row],[godziny.zajec.razem]]-Tabela_podst_nst[[#This Row],[godziny.zajec.razem]])</f>
        <v>29</v>
      </c>
      <c r="AS30" s="393">
        <f>Tabela_podst[[#This Row],[godziny.konsultacja]]</f>
        <v>3</v>
      </c>
      <c r="AT30" s="394">
        <f>Tabela_podst[[#This Row],[godziny.egzamin]]</f>
        <v>2</v>
      </c>
      <c r="AU30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18</v>
      </c>
      <c r="AV30" s="442">
        <f>IF(Tabela_podst_nst[[#This Row],[ects.bezposr.nauczyciel]],Tabela_podst_nst[[#This Row],[ects.bezposr.nauczyciel]]/Tabela_podst_nst[[#This Row],[ects.razem]],0)</f>
        <v>0.33333333333333331</v>
      </c>
      <c r="AW30" s="49"/>
    </row>
    <row r="31" spans="1:49" ht="25.5" customHeight="1" x14ac:dyDescent="0.3">
      <c r="A31" s="207"/>
      <c r="B31" s="436" t="str">
        <f>IF(Tabela_podst[[#This Row],[kod.isced]]&lt;&gt;"",Tabela_podst[[#This Row],[kod.isced]],"")</f>
        <v>0413</v>
      </c>
      <c r="C31" s="437">
        <f>IF(Tabela_podst[[#This Row],[kod.dziedziny]]&lt;&gt;"",Tabela_podst[[#This Row],[kod.dziedziny]],"")</f>
        <v>506</v>
      </c>
      <c r="D31" s="437" t="str">
        <f>IF(Tabela_podst[[#This Row],[Modul]]&lt;&gt;"",Tabela_podst[[#This Row],[Modul]],"")</f>
        <v>pd.02.1</v>
      </c>
      <c r="E31" s="437" t="str">
        <f>IF(Tabela_podst[[#This Row],[Umiej.prakt.]]&lt;&gt;"",Tabela_podst[[#This Row],[Umiej.prakt.]],"")</f>
        <v>up</v>
      </c>
      <c r="F31" s="438" t="str">
        <f>IF(Tabela_podst[[#This Row],[Nazwa przedmiotu]]&lt;&gt;"",Tabela_podst[[#This Row],[Nazwa przedmiotu]],"")</f>
        <v>Zarządzanie</v>
      </c>
      <c r="G31" s="439" t="str">
        <f>IF(Tabela_podst[[#This Row],[Prowadzacy]]&lt;&gt;"",Tabela_podst[[#This Row],[Prowadzacy]],"")</f>
        <v/>
      </c>
      <c r="H31" s="440" t="str">
        <f>IF(Tabela_podst[[#This Row],[Forma]]&lt;&gt;"",Tabela_podst[[#This Row],[Forma]],"")</f>
        <v>konwersatorium</v>
      </c>
      <c r="I31" s="441" t="str">
        <f>IF(Tabela_podst[[#This Row],[czy.ects]]&lt;&gt;"",Tabela_podst[[#This Row],[czy.ects]],"")</f>
        <v>TAK</v>
      </c>
      <c r="J31" s="369">
        <f>IF(Tabela_podst[[#This Row],[sem1.godziny]]&lt;&gt;"",IF(Tabela_podst[[#This Row],[sem1.godziny]]&gt;14,Tabela_podst[[#This Row],[sem1.godziny]]*0.6,Tabela_podst[[#This Row],[sem1.godziny]]),"")</f>
        <v>18</v>
      </c>
      <c r="K31" s="369">
        <v>3</v>
      </c>
      <c r="L31" s="369" t="str">
        <f>IF(Tabela_podst[[#This Row],[sem1.forma]]&lt;&gt;"",Tabela_podst[[#This Row],[sem1.forma]],"")</f>
        <v>z</v>
      </c>
      <c r="M31" s="371" t="str">
        <f>IF(Tabela_podst[[#This Row],[sem2.godziny]]&lt;&gt;"",IF(Tabela_podst[[#This Row],[sem2.godziny]]&gt;14,Tabela_podst[[#This Row],[sem2.godziny]]*0.6,Tabela_podst[[#This Row],[sem2.godziny]]),"")</f>
        <v/>
      </c>
      <c r="N31" s="371" t="str" cm="1">
        <f t="array" ref="N31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1" s="371" t="str">
        <f>IF(Tabela_podst[[#This Row],[sem2.forma]]&lt;&gt;"",Tabela_podst[[#This Row],[sem2.forma]],"")</f>
        <v/>
      </c>
      <c r="P31" s="677" t="str">
        <f>IF(Tabela_podst[[#This Row],[sem3.godziny]]&lt;&gt;"",IF(Tabela_podst[[#This Row],[sem3.godziny]]&gt;14,Tabela_podst[[#This Row],[sem3.godziny]]*0.6,Tabela_podst[[#This Row],[sem3.godziny]]),"")</f>
        <v/>
      </c>
      <c r="Q31" s="373" t="str" cm="1">
        <f t="array" ref="Q31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1" s="677" t="str">
        <f>IF(Tabela_podst[[#This Row],[sem3.forma]]&lt;&gt;"",Tabela_podst[[#This Row],[sem3.forma]],"")</f>
        <v/>
      </c>
      <c r="S31" s="375" t="str">
        <f>IF(Tabela_podst[[#This Row],[sem4.godziny]]&lt;&gt;"",IF(Tabela_podst[[#This Row],[sem4.godziny]]&gt;14,Tabela_podst[[#This Row],[sem4.godziny]]*0.6,Tabela_podst[[#This Row],[sem4.godziny]]),"")</f>
        <v/>
      </c>
      <c r="T31" s="375" t="str" cm="1">
        <f t="array" ref="T31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1" s="375" t="str">
        <f>IF(Tabela_podst[[#This Row],[sem4.forma]]&lt;&gt;"",Tabela_podst[[#This Row],[sem4.forma]],"")</f>
        <v/>
      </c>
      <c r="V31" s="377" t="str">
        <f>IF(Tabela_podst[[#This Row],[sem5.godziny]]&lt;&gt;"",IF(Tabela_podst[[#This Row],[sem5.godziny]]&gt;14,Tabela_podst[[#This Row],[sem5.godziny]]*0.6,Tabela_podst[[#This Row],[sem5.godziny]]),"")</f>
        <v/>
      </c>
      <c r="W31" s="377" t="str" cm="1">
        <f t="array" ref="W31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1" s="377" t="str">
        <f>IF(Tabela_podst[[#This Row],[sem5.forma]]&lt;&gt;"",Tabela_podst[[#This Row],[sem5.forma]],"")</f>
        <v/>
      </c>
      <c r="Y31" s="379" t="str">
        <f>IF(Tabela_podst[[#This Row],[sem6.godziny]]&lt;&gt;"",IF(Tabela_podst[[#This Row],[sem6.godziny]]&gt;14,Tabela_podst[[#This Row],[sem6.godziny]]*0.6,Tabela_podst[[#This Row],[sem6.godziny]]),"")</f>
        <v/>
      </c>
      <c r="Z31" s="379" t="str" cm="1">
        <f t="array" ref="Z31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1" s="379" t="str">
        <f>IF(Tabela_podst[[#This Row],[sem6.forma]]&lt;&gt;"",Tabela_podst[[#This Row],[sem6.forma]],"")</f>
        <v/>
      </c>
      <c r="AB31" s="381" t="str">
        <f>IF(Tabela_podst[[#This Row],[sem7.godziny]]&lt;&gt;"",IF(Tabela_podst[[#This Row],[sem7.godziny]]&gt;14,Tabela_podst[[#This Row],[sem7.godziny]]*0.6,Tabela_podst[[#This Row],[sem7.godziny]]),"")</f>
        <v/>
      </c>
      <c r="AC31" s="381" t="str" cm="1">
        <f t="array" ref="AC31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1" s="381" t="str">
        <f>IF(Tabela_podst[[#This Row],[sem7.forma]]&lt;&gt;"",Tabela_podst[[#This Row],[sem7.forma]],"")</f>
        <v/>
      </c>
      <c r="AE31" s="383" t="str">
        <f>IF(Tabela_podst[[#This Row],[sem8.godziny]]&lt;&gt;"",IF(Tabela_podst[[#This Row],[sem8.godziny]]&gt;14,Tabela_podst[[#This Row],[sem8.godziny]]*0.6,Tabela_podst[[#This Row],[sem8.godziny]]),"")</f>
        <v/>
      </c>
      <c r="AF31" s="383" t="str" cm="1">
        <f t="array" ref="AF31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1" s="383" t="str">
        <f>IF(Tabela_podst[[#This Row],[sem8.forma]]&lt;&gt;"",Tabela_podst[[#This Row],[sem8.forma]],"")</f>
        <v/>
      </c>
      <c r="AH31" s="385" t="str">
        <f>IF(Tabela_podst[[#This Row],[sem9.godziny]]&lt;&gt;"",IF(Tabela_podst[[#This Row],[sem9.godziny]]&gt;14,Tabela_podst[[#This Row],[sem9.godziny]]*0.6,Tabela_podst[[#This Row],[sem9.godziny]]),"")</f>
        <v/>
      </c>
      <c r="AI31" s="385" t="str" cm="1">
        <f t="array" ref="AI31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1" s="385" t="str">
        <f>IF(Tabela_podst[[#This Row],[sem9.forma]]&lt;&gt;"",Tabela_podst[[#This Row],[sem9.forma]],"")</f>
        <v/>
      </c>
      <c r="AK31" s="387" t="str">
        <f>IF(Tabela_podst[[#This Row],[sem10.godziny]]&lt;&gt;"",IF(Tabela_podst[[#This Row],[sem10.godziny]]&gt;14,Tabela_podst[[#This Row],[sem10.godziny]]*0.6,Tabela_podst[[#This Row],[sem10.godziny]]),"")</f>
        <v/>
      </c>
      <c r="AL31" s="387" t="str" cm="1">
        <f t="array" ref="AL31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1" s="387" t="str">
        <f>IF(Tabela_podst[[#This Row],[sem10.forma]]&lt;&gt;"",Tabela_podst[[#This Row],[sem10.forma]],"")</f>
        <v/>
      </c>
      <c r="AN31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3</v>
      </c>
      <c r="AO31" s="389">
        <f>IF(ISERR(SEARCH("UP",Tabela_podst_nst[[#This Row],[Umiej.prakt.]],1)),0,Tabela_podst_nst[[#This Row],[ects.razem]])</f>
        <v>3</v>
      </c>
      <c r="AP31" s="390">
        <f>IF(Tabela_podst_nst[[#This Row],[czy.ects]]="TAK",ROUND((SUM(Tabela_podst_nst[[#This Row],[godziny.konsultacja]],Tabela_podst_nst[[#This Row],[godziny.egzamin]],Tabela_podst_nst[[#This Row],[godziny.zajec.razem]])/25)/0.5,0)*0.5,0)</f>
        <v>1</v>
      </c>
      <c r="AQ31" s="391">
        <f>SUM(Tabela_podst_nst[[#This Row],[godziny.samoksztalcenie]],Tabela_podst_nst[[#This Row],[godziny.konsultacja]],Tabela_podst_nst[[#This Row],[godziny.egzamin]],Tabela_podst_nst[[#This Row],[godziny.zajec.razem]])</f>
        <v>52</v>
      </c>
      <c r="AR31" s="392">
        <f>Tabela_podst[[#This Row],[godziny.samoksztalcenie]]+(Tabela_podst[[#This Row],[godziny.zajec.razem]]-Tabela_podst_nst[[#This Row],[godziny.zajec.razem]])</f>
        <v>29</v>
      </c>
      <c r="AS31" s="393">
        <f>Tabela_podst[[#This Row],[godziny.konsultacja]]</f>
        <v>3</v>
      </c>
      <c r="AT31" s="394">
        <f>Tabela_podst[[#This Row],[godziny.egzamin]]</f>
        <v>2</v>
      </c>
      <c r="AU31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18</v>
      </c>
      <c r="AV31" s="442">
        <f>IF(Tabela_podst_nst[[#This Row],[ects.bezposr.nauczyciel]],Tabela_podst_nst[[#This Row],[ects.bezposr.nauczyciel]]/Tabela_podst_nst[[#This Row],[ects.razem]],0)</f>
        <v>0.33333333333333331</v>
      </c>
      <c r="AW31" s="49"/>
    </row>
    <row r="32" spans="1:49" ht="25.5" customHeight="1" x14ac:dyDescent="0.3">
      <c r="A32" s="207"/>
      <c r="B32" s="436" t="str">
        <f>IF(Tabela_podst[[#This Row],[kod.isced]]&lt;&gt;"",Tabela_podst[[#This Row],[kod.isced]],"")</f>
        <v>0421</v>
      </c>
      <c r="C32" s="437">
        <f>IF(Tabela_podst[[#This Row],[kod.dziedziny]]&lt;&gt;"",Tabela_podst[[#This Row],[kod.dziedziny]],"")</f>
        <v>507</v>
      </c>
      <c r="D32" s="437" t="str">
        <f>IF(Tabela_podst[[#This Row],[Modul]]&lt;&gt;"",Tabela_podst[[#This Row],[Modul]],"")</f>
        <v>pd.03.1</v>
      </c>
      <c r="E32" s="437" t="str">
        <f>IF(Tabela_podst[[#This Row],[Umiej.prakt.]]&lt;&gt;"",Tabela_podst[[#This Row],[Umiej.prakt.]],"")</f>
        <v/>
      </c>
      <c r="F32" s="438" t="str">
        <f>IF(Tabela_podst[[#This Row],[Nazwa przedmiotu]]&lt;&gt;"",Tabela_podst[[#This Row],[Nazwa przedmiotu]],"")</f>
        <v>Podstawy prawa</v>
      </c>
      <c r="G32" s="439" t="str">
        <f>IF(Tabela_podst[[#This Row],[Prowadzacy]]&lt;&gt;"",Tabela_podst[[#This Row],[Prowadzacy]],"")</f>
        <v/>
      </c>
      <c r="H32" s="440" t="str">
        <f>IF(Tabela_podst[[#This Row],[Forma]]&lt;&gt;"",Tabela_podst[[#This Row],[Forma]],"")</f>
        <v>konwersatorium</v>
      </c>
      <c r="I32" s="441" t="str">
        <f>IF(Tabela_podst[[#This Row],[czy.ects]]&lt;&gt;"",Tabela_podst[[#This Row],[czy.ects]],"")</f>
        <v>TAK</v>
      </c>
      <c r="J32" s="369">
        <f>IF(Tabela_podst[[#This Row],[sem1.godziny]]&lt;&gt;"",IF(Tabela_podst[[#This Row],[sem1.godziny]]&gt;14,Tabela_podst[[#This Row],[sem1.godziny]]*0.6,Tabela_podst[[#This Row],[sem1.godziny]]),"")</f>
        <v>18</v>
      </c>
      <c r="K32" s="369">
        <v>3</v>
      </c>
      <c r="L32" s="369" t="str">
        <f>IF(Tabela_podst[[#This Row],[sem1.forma]]&lt;&gt;"",Tabela_podst[[#This Row],[sem1.forma]],"")</f>
        <v>z</v>
      </c>
      <c r="M32" s="371" t="str">
        <f>IF(Tabela_podst[[#This Row],[sem2.godziny]]&lt;&gt;"",IF(Tabela_podst[[#This Row],[sem2.godziny]]&gt;14,Tabela_podst[[#This Row],[sem2.godziny]]*0.6,Tabela_podst[[#This Row],[sem2.godziny]]),"")</f>
        <v/>
      </c>
      <c r="N32" s="371" t="str" cm="1">
        <f t="array" ref="N32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2" s="371" t="str">
        <f>IF(Tabela_podst[[#This Row],[sem2.forma]]&lt;&gt;"",Tabela_podst[[#This Row],[sem2.forma]],"")</f>
        <v/>
      </c>
      <c r="P32" s="677" t="str">
        <f>IF(Tabela_podst[[#This Row],[sem3.godziny]]&lt;&gt;"",IF(Tabela_podst[[#This Row],[sem3.godziny]]&gt;14,Tabela_podst[[#This Row],[sem3.godziny]]*0.6,Tabela_podst[[#This Row],[sem3.godziny]]),"")</f>
        <v/>
      </c>
      <c r="Q32" s="373" t="str" cm="1">
        <f t="array" ref="Q32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2" s="677" t="str">
        <f>IF(Tabela_podst[[#This Row],[sem3.forma]]&lt;&gt;"",Tabela_podst[[#This Row],[sem3.forma]],"")</f>
        <v/>
      </c>
      <c r="S32" s="375" t="str">
        <f>IF(Tabela_podst[[#This Row],[sem4.godziny]]&lt;&gt;"",IF(Tabela_podst[[#This Row],[sem4.godziny]]&gt;14,Tabela_podst[[#This Row],[sem4.godziny]]*0.6,Tabela_podst[[#This Row],[sem4.godziny]]),"")</f>
        <v/>
      </c>
      <c r="T32" s="375" t="str" cm="1">
        <f t="array" ref="T32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2" s="375" t="str">
        <f>IF(Tabela_podst[[#This Row],[sem4.forma]]&lt;&gt;"",Tabela_podst[[#This Row],[sem4.forma]],"")</f>
        <v/>
      </c>
      <c r="V32" s="377" t="str">
        <f>IF(Tabela_podst[[#This Row],[sem5.godziny]]&lt;&gt;"",IF(Tabela_podst[[#This Row],[sem5.godziny]]&gt;14,Tabela_podst[[#This Row],[sem5.godziny]]*0.6,Tabela_podst[[#This Row],[sem5.godziny]]),"")</f>
        <v/>
      </c>
      <c r="W32" s="377" t="str" cm="1">
        <f t="array" ref="W32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2" s="377" t="str">
        <f>IF(Tabela_podst[[#This Row],[sem5.forma]]&lt;&gt;"",Tabela_podst[[#This Row],[sem5.forma]],"")</f>
        <v/>
      </c>
      <c r="Y32" s="379" t="str">
        <f>IF(Tabela_podst[[#This Row],[sem6.godziny]]&lt;&gt;"",IF(Tabela_podst[[#This Row],[sem6.godziny]]&gt;14,Tabela_podst[[#This Row],[sem6.godziny]]*0.6,Tabela_podst[[#This Row],[sem6.godziny]]),"")</f>
        <v/>
      </c>
      <c r="Z32" s="379" t="str" cm="1">
        <f t="array" ref="Z32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2" s="379" t="str">
        <f>IF(Tabela_podst[[#This Row],[sem6.forma]]&lt;&gt;"",Tabela_podst[[#This Row],[sem6.forma]],"")</f>
        <v/>
      </c>
      <c r="AB32" s="381" t="str">
        <f>IF(Tabela_podst[[#This Row],[sem7.godziny]]&lt;&gt;"",IF(Tabela_podst[[#This Row],[sem7.godziny]]&gt;14,Tabela_podst[[#This Row],[sem7.godziny]]*0.6,Tabela_podst[[#This Row],[sem7.godziny]]),"")</f>
        <v/>
      </c>
      <c r="AC32" s="381" t="str" cm="1">
        <f t="array" ref="AC32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2" s="381" t="str">
        <f>IF(Tabela_podst[[#This Row],[sem7.forma]]&lt;&gt;"",Tabela_podst[[#This Row],[sem7.forma]],"")</f>
        <v/>
      </c>
      <c r="AE32" s="383" t="str">
        <f>IF(Tabela_podst[[#This Row],[sem8.godziny]]&lt;&gt;"",IF(Tabela_podst[[#This Row],[sem8.godziny]]&gt;14,Tabela_podst[[#This Row],[sem8.godziny]]*0.6,Tabela_podst[[#This Row],[sem8.godziny]]),"")</f>
        <v/>
      </c>
      <c r="AF32" s="383" t="str" cm="1">
        <f t="array" ref="AF32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2" s="383" t="str">
        <f>IF(Tabela_podst[[#This Row],[sem8.forma]]&lt;&gt;"",Tabela_podst[[#This Row],[sem8.forma]],"")</f>
        <v/>
      </c>
      <c r="AH32" s="385" t="str">
        <f>IF(Tabela_podst[[#This Row],[sem9.godziny]]&lt;&gt;"",IF(Tabela_podst[[#This Row],[sem9.godziny]]&gt;14,Tabela_podst[[#This Row],[sem9.godziny]]*0.6,Tabela_podst[[#This Row],[sem9.godziny]]),"")</f>
        <v/>
      </c>
      <c r="AI32" s="385" t="str" cm="1">
        <f t="array" ref="AI32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2" s="385" t="str">
        <f>IF(Tabela_podst[[#This Row],[sem9.forma]]&lt;&gt;"",Tabela_podst[[#This Row],[sem9.forma]],"")</f>
        <v/>
      </c>
      <c r="AK32" s="387" t="str">
        <f>IF(Tabela_podst[[#This Row],[sem10.godziny]]&lt;&gt;"",IF(Tabela_podst[[#This Row],[sem10.godziny]]&gt;14,Tabela_podst[[#This Row],[sem10.godziny]]*0.6,Tabela_podst[[#This Row],[sem10.godziny]]),"")</f>
        <v/>
      </c>
      <c r="AL32" s="387" t="str" cm="1">
        <f t="array" ref="AL32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2" s="387" t="str">
        <f>IF(Tabela_podst[[#This Row],[sem10.forma]]&lt;&gt;"",Tabela_podst[[#This Row],[sem10.forma]],"")</f>
        <v/>
      </c>
      <c r="AN32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3</v>
      </c>
      <c r="AO32" s="389">
        <f>IF(ISERR(SEARCH("UP",Tabela_podst_nst[[#This Row],[Umiej.prakt.]],1)),0,Tabela_podst_nst[[#This Row],[ects.razem]])</f>
        <v>0</v>
      </c>
      <c r="AP32" s="390">
        <f>IF(Tabela_podst_nst[[#This Row],[czy.ects]]="TAK",ROUND((SUM(Tabela_podst_nst[[#This Row],[godziny.konsultacja]],Tabela_podst_nst[[#This Row],[godziny.egzamin]],Tabela_podst_nst[[#This Row],[godziny.zajec.razem]])/25)/0.5,0)*0.5,0)</f>
        <v>1</v>
      </c>
      <c r="AQ32" s="391">
        <f>SUM(Tabela_podst_nst[[#This Row],[godziny.samoksztalcenie]],Tabela_podst_nst[[#This Row],[godziny.konsultacja]],Tabela_podst_nst[[#This Row],[godziny.egzamin]],Tabela_podst_nst[[#This Row],[godziny.zajec.razem]])</f>
        <v>52</v>
      </c>
      <c r="AR32" s="392">
        <f>Tabela_podst[[#This Row],[godziny.samoksztalcenie]]+(Tabela_podst[[#This Row],[godziny.zajec.razem]]-Tabela_podst_nst[[#This Row],[godziny.zajec.razem]])</f>
        <v>29</v>
      </c>
      <c r="AS32" s="393">
        <f>Tabela_podst[[#This Row],[godziny.konsultacja]]</f>
        <v>3</v>
      </c>
      <c r="AT32" s="394">
        <f>Tabela_podst[[#This Row],[godziny.egzamin]]</f>
        <v>2</v>
      </c>
      <c r="AU32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18</v>
      </c>
      <c r="AV32" s="442">
        <f>IF(Tabela_podst_nst[[#This Row],[ects.bezposr.nauczyciel]],Tabela_podst_nst[[#This Row],[ects.bezposr.nauczyciel]]/Tabela_podst_nst[[#This Row],[ects.razem]],0)</f>
        <v>0.33333333333333331</v>
      </c>
      <c r="AW32" s="49"/>
    </row>
    <row r="33" spans="1:49" ht="25.5" customHeight="1" x14ac:dyDescent="0.3">
      <c r="A33" s="207"/>
      <c r="B33" s="436" t="str">
        <f>IF(Tabela_podst[[#This Row],[kod.isced]]&lt;&gt;"",Tabela_podst[[#This Row],[kod.isced]],"")</f>
        <v>0541</v>
      </c>
      <c r="C33" s="437">
        <f>IF(Tabela_podst[[#This Row],[kod.dziedziny]]&lt;&gt;"",Tabela_podst[[#This Row],[kod.dziedziny]],"")</f>
        <v>603</v>
      </c>
      <c r="D33" s="437" t="str">
        <f>IF(Tabela_podst[[#This Row],[Modul]]&lt;&gt;"",Tabela_podst[[#This Row],[Modul]],"")</f>
        <v>pd.04.1</v>
      </c>
      <c r="E33" s="437" t="str">
        <f>IF(Tabela_podst[[#This Row],[Umiej.prakt.]]&lt;&gt;"",Tabela_podst[[#This Row],[Umiej.prakt.]],"")</f>
        <v/>
      </c>
      <c r="F33" s="438" t="str">
        <f>IF(Tabela_podst[[#This Row],[Nazwa przedmiotu]]&lt;&gt;"",Tabela_podst[[#This Row],[Nazwa przedmiotu]],"")</f>
        <v xml:space="preserve">Metody ilościowe </v>
      </c>
      <c r="G33" s="439" t="str">
        <f>IF(Tabela_podst[[#This Row],[Prowadzacy]]&lt;&gt;"",Tabela_podst[[#This Row],[Prowadzacy]],"")</f>
        <v/>
      </c>
      <c r="H33" s="440" t="str">
        <f>IF(Tabela_podst[[#This Row],[Forma]]&lt;&gt;"",Tabela_podst[[#This Row],[Forma]],"")</f>
        <v>konwersatorium</v>
      </c>
      <c r="I33" s="441" t="str">
        <f>IF(Tabela_podst[[#This Row],[czy.ects]]&lt;&gt;"",Tabela_podst[[#This Row],[czy.ects]],"")</f>
        <v>TAK</v>
      </c>
      <c r="J33" s="369">
        <f>IF(Tabela_podst[[#This Row],[sem1.godziny]]&lt;&gt;"",IF(Tabela_podst[[#This Row],[sem1.godziny]]&gt;14,Tabela_podst[[#This Row],[sem1.godziny]]*0.6,Tabela_podst[[#This Row],[sem1.godziny]]),"")</f>
        <v>18</v>
      </c>
      <c r="K33" s="369">
        <v>3</v>
      </c>
      <c r="L33" s="369" t="str">
        <f>IF(Tabela_podst[[#This Row],[sem1.forma]]&lt;&gt;"",Tabela_podst[[#This Row],[sem1.forma]],"")</f>
        <v>z</v>
      </c>
      <c r="M33" s="371" t="str">
        <f>IF(Tabela_podst[[#This Row],[sem2.godziny]]&lt;&gt;"",IF(Tabela_podst[[#This Row],[sem2.godziny]]&gt;14,Tabela_podst[[#This Row],[sem2.godziny]]*0.6,Tabela_podst[[#This Row],[sem2.godziny]]),"")</f>
        <v/>
      </c>
      <c r="N33" s="371" t="str" cm="1">
        <f t="array" ref="N33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3" s="371" t="str">
        <f>IF(Tabela_podst[[#This Row],[sem2.forma]]&lt;&gt;"",Tabela_podst[[#This Row],[sem2.forma]],"")</f>
        <v/>
      </c>
      <c r="P33" s="677" t="str">
        <f>IF(Tabela_podst[[#This Row],[sem3.godziny]]&lt;&gt;"",IF(Tabela_podst[[#This Row],[sem3.godziny]]&gt;14,Tabela_podst[[#This Row],[sem3.godziny]]*0.6,Tabela_podst[[#This Row],[sem3.godziny]]),"")</f>
        <v/>
      </c>
      <c r="Q33" s="373" t="str" cm="1">
        <f t="array" ref="Q33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3" s="677" t="str">
        <f>IF(Tabela_podst[[#This Row],[sem3.forma]]&lt;&gt;"",Tabela_podst[[#This Row],[sem3.forma]],"")</f>
        <v/>
      </c>
      <c r="S33" s="375" t="str">
        <f>IF(Tabela_podst[[#This Row],[sem4.godziny]]&lt;&gt;"",IF(Tabela_podst[[#This Row],[sem4.godziny]]&gt;14,Tabela_podst[[#This Row],[sem4.godziny]]*0.6,Tabela_podst[[#This Row],[sem4.godziny]]),"")</f>
        <v/>
      </c>
      <c r="T33" s="375" t="str" cm="1">
        <f t="array" ref="T33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3" s="375" t="str">
        <f>IF(Tabela_podst[[#This Row],[sem4.forma]]&lt;&gt;"",Tabela_podst[[#This Row],[sem4.forma]],"")</f>
        <v/>
      </c>
      <c r="V33" s="377" t="str">
        <f>IF(Tabela_podst[[#This Row],[sem5.godziny]]&lt;&gt;"",IF(Tabela_podst[[#This Row],[sem5.godziny]]&gt;14,Tabela_podst[[#This Row],[sem5.godziny]]*0.6,Tabela_podst[[#This Row],[sem5.godziny]]),"")</f>
        <v/>
      </c>
      <c r="W33" s="377" t="str" cm="1">
        <f t="array" ref="W33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3" s="377" t="str">
        <f>IF(Tabela_podst[[#This Row],[sem5.forma]]&lt;&gt;"",Tabela_podst[[#This Row],[sem5.forma]],"")</f>
        <v/>
      </c>
      <c r="Y33" s="379" t="str">
        <f>IF(Tabela_podst[[#This Row],[sem6.godziny]]&lt;&gt;"",IF(Tabela_podst[[#This Row],[sem6.godziny]]&gt;14,Tabela_podst[[#This Row],[sem6.godziny]]*0.6,Tabela_podst[[#This Row],[sem6.godziny]]),"")</f>
        <v/>
      </c>
      <c r="Z33" s="379" t="str" cm="1">
        <f t="array" ref="Z33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3" s="379" t="str">
        <f>IF(Tabela_podst[[#This Row],[sem6.forma]]&lt;&gt;"",Tabela_podst[[#This Row],[sem6.forma]],"")</f>
        <v/>
      </c>
      <c r="AB33" s="381" t="str">
        <f>IF(Tabela_podst[[#This Row],[sem7.godziny]]&lt;&gt;"",IF(Tabela_podst[[#This Row],[sem7.godziny]]&gt;14,Tabela_podst[[#This Row],[sem7.godziny]]*0.6,Tabela_podst[[#This Row],[sem7.godziny]]),"")</f>
        <v/>
      </c>
      <c r="AC33" s="381" t="str" cm="1">
        <f t="array" ref="AC33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3" s="381" t="str">
        <f>IF(Tabela_podst[[#This Row],[sem7.forma]]&lt;&gt;"",Tabela_podst[[#This Row],[sem7.forma]],"")</f>
        <v/>
      </c>
      <c r="AE33" s="383" t="str">
        <f>IF(Tabela_podst[[#This Row],[sem8.godziny]]&lt;&gt;"",IF(Tabela_podst[[#This Row],[sem8.godziny]]&gt;14,Tabela_podst[[#This Row],[sem8.godziny]]*0.6,Tabela_podst[[#This Row],[sem8.godziny]]),"")</f>
        <v/>
      </c>
      <c r="AF33" s="383" t="str" cm="1">
        <f t="array" ref="AF33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3" s="383" t="str">
        <f>IF(Tabela_podst[[#This Row],[sem8.forma]]&lt;&gt;"",Tabela_podst[[#This Row],[sem8.forma]],"")</f>
        <v/>
      </c>
      <c r="AH33" s="385" t="str">
        <f>IF(Tabela_podst[[#This Row],[sem9.godziny]]&lt;&gt;"",IF(Tabela_podst[[#This Row],[sem9.godziny]]&gt;14,Tabela_podst[[#This Row],[sem9.godziny]]*0.6,Tabela_podst[[#This Row],[sem9.godziny]]),"")</f>
        <v/>
      </c>
      <c r="AI33" s="385" t="str" cm="1">
        <f t="array" ref="AI33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3" s="385" t="str">
        <f>IF(Tabela_podst[[#This Row],[sem9.forma]]&lt;&gt;"",Tabela_podst[[#This Row],[sem9.forma]],"")</f>
        <v/>
      </c>
      <c r="AK33" s="387" t="str">
        <f>IF(Tabela_podst[[#This Row],[sem10.godziny]]&lt;&gt;"",IF(Tabela_podst[[#This Row],[sem10.godziny]]&gt;14,Tabela_podst[[#This Row],[sem10.godziny]]*0.6,Tabela_podst[[#This Row],[sem10.godziny]]),"")</f>
        <v/>
      </c>
      <c r="AL33" s="387" t="str" cm="1">
        <f t="array" ref="AL33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3" s="387" t="str">
        <f>IF(Tabela_podst[[#This Row],[sem10.forma]]&lt;&gt;"",Tabela_podst[[#This Row],[sem10.forma]],"")</f>
        <v/>
      </c>
      <c r="AN33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3</v>
      </c>
      <c r="AO33" s="389">
        <f>IF(ISERR(SEARCH("UP",Tabela_podst_nst[[#This Row],[Umiej.prakt.]],1)),0,Tabela_podst_nst[[#This Row],[ects.razem]])</f>
        <v>0</v>
      </c>
      <c r="AP33" s="390">
        <f>IF(Tabela_podst_nst[[#This Row],[czy.ects]]="TAK",ROUND((SUM(Tabela_podst_nst[[#This Row],[godziny.konsultacja]],Tabela_podst_nst[[#This Row],[godziny.egzamin]],Tabela_podst_nst[[#This Row],[godziny.zajec.razem]])/25)/0.5,0)*0.5,0)</f>
        <v>1</v>
      </c>
      <c r="AQ33" s="391">
        <f>SUM(Tabela_podst_nst[[#This Row],[godziny.samoksztalcenie]],Tabela_podst_nst[[#This Row],[godziny.konsultacja]],Tabela_podst_nst[[#This Row],[godziny.egzamin]],Tabela_podst_nst[[#This Row],[godziny.zajec.razem]])</f>
        <v>52</v>
      </c>
      <c r="AR33" s="392">
        <f>Tabela_podst[[#This Row],[godziny.samoksztalcenie]]+(Tabela_podst[[#This Row],[godziny.zajec.razem]]-Tabela_podst_nst[[#This Row],[godziny.zajec.razem]])</f>
        <v>29</v>
      </c>
      <c r="AS33" s="393">
        <f>Tabela_podst[[#This Row],[godziny.konsultacja]]</f>
        <v>3</v>
      </c>
      <c r="AT33" s="394">
        <f>Tabela_podst[[#This Row],[godziny.egzamin]]</f>
        <v>2</v>
      </c>
      <c r="AU33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18</v>
      </c>
      <c r="AV33" s="442">
        <f>IF(Tabela_podst_nst[[#This Row],[ects.bezposr.nauczyciel]],Tabela_podst_nst[[#This Row],[ects.bezposr.nauczyciel]]/Tabela_podst_nst[[#This Row],[ects.razem]],0)</f>
        <v>0.33333333333333331</v>
      </c>
      <c r="AW33" s="49"/>
    </row>
    <row r="34" spans="1:49" ht="25.5" customHeight="1" x14ac:dyDescent="0.3">
      <c r="A34" s="207"/>
      <c r="B34" s="436" t="str">
        <f>IF(Tabela_podst[[#This Row],[kod.isced]]&lt;&gt;"",Tabela_podst[[#This Row],[kod.isced]],"")</f>
        <v>0541</v>
      </c>
      <c r="C34" s="437">
        <f>IF(Tabela_podst[[#This Row],[kod.dziedziny]]&lt;&gt;"",Tabela_podst[[#This Row],[kod.dziedziny]],"")</f>
        <v>603</v>
      </c>
      <c r="D34" s="437" t="str">
        <f>IF(Tabela_podst[[#This Row],[Modul]]&lt;&gt;"",Tabela_podst[[#This Row],[Modul]],"")</f>
        <v>pd.04.2</v>
      </c>
      <c r="E34" s="437" t="str">
        <f>IF(Tabela_podst[[#This Row],[Umiej.prakt.]]&lt;&gt;"",Tabela_podst[[#This Row],[Umiej.prakt.]],"")</f>
        <v/>
      </c>
      <c r="F34" s="438" t="str">
        <f>IF(Tabela_podst[[#This Row],[Nazwa przedmiotu]]&lt;&gt;"",Tabela_podst[[#This Row],[Nazwa przedmiotu]],"")</f>
        <v xml:space="preserve">Metody ilościowe </v>
      </c>
      <c r="G34" s="439" t="str">
        <f>IF(Tabela_podst[[#This Row],[Prowadzacy]]&lt;&gt;"",Tabela_podst[[#This Row],[Prowadzacy]],"")</f>
        <v/>
      </c>
      <c r="H34" s="440" t="str">
        <f>IF(Tabela_podst[[#This Row],[Forma]]&lt;&gt;"",Tabela_podst[[#This Row],[Forma]],"")</f>
        <v>laboratoria</v>
      </c>
      <c r="I34" s="441" t="str">
        <f>IF(Tabela_podst[[#This Row],[czy.ects]]&lt;&gt;"",Tabela_podst[[#This Row],[czy.ects]],"")</f>
        <v>TAK</v>
      </c>
      <c r="J34" s="369">
        <f>IF(Tabela_podst[[#This Row],[sem1.godziny]]&lt;&gt;"",IF(Tabela_podst[[#This Row],[sem1.godziny]]&gt;14,Tabela_podst[[#This Row],[sem1.godziny]]*0.6,Tabela_podst[[#This Row],[sem1.godziny]]),"")</f>
        <v>9</v>
      </c>
      <c r="K34" s="369" cm="1">
        <f t="array" ref="K34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>1</v>
      </c>
      <c r="L34" s="369" t="str">
        <f>IF(Tabela_podst[[#This Row],[sem1.forma]]&lt;&gt;"",Tabela_podst[[#This Row],[sem1.forma]],"")</f>
        <v>z</v>
      </c>
      <c r="M34" s="371" t="str">
        <f>IF(Tabela_podst[[#This Row],[sem2.godziny]]&lt;&gt;"",IF(Tabela_podst[[#This Row],[sem2.godziny]]&gt;14,Tabela_podst[[#This Row],[sem2.godziny]]*0.6,Tabela_podst[[#This Row],[sem2.godziny]]),"")</f>
        <v/>
      </c>
      <c r="N34" s="371" t="str" cm="1">
        <f t="array" ref="N34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4" s="371" t="str">
        <f>IF(Tabela_podst[[#This Row],[sem2.forma]]&lt;&gt;"",Tabela_podst[[#This Row],[sem2.forma]],"")</f>
        <v/>
      </c>
      <c r="P34" s="677" t="str">
        <f>IF(Tabela_podst[[#This Row],[sem3.godziny]]&lt;&gt;"",IF(Tabela_podst[[#This Row],[sem3.godziny]]&gt;14,Tabela_podst[[#This Row],[sem3.godziny]]*0.6,Tabela_podst[[#This Row],[sem3.godziny]]),"")</f>
        <v/>
      </c>
      <c r="Q34" s="373" t="str" cm="1">
        <f t="array" ref="Q34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4" s="677" t="str">
        <f>IF(Tabela_podst[[#This Row],[sem3.forma]]&lt;&gt;"",Tabela_podst[[#This Row],[sem3.forma]],"")</f>
        <v/>
      </c>
      <c r="S34" s="375" t="str">
        <f>IF(Tabela_podst[[#This Row],[sem4.godziny]]&lt;&gt;"",IF(Tabela_podst[[#This Row],[sem4.godziny]]&gt;14,Tabela_podst[[#This Row],[sem4.godziny]]*0.6,Tabela_podst[[#This Row],[sem4.godziny]]),"")</f>
        <v/>
      </c>
      <c r="T34" s="375" t="str" cm="1">
        <f t="array" ref="T34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4" s="375" t="str">
        <f>IF(Tabela_podst[[#This Row],[sem4.forma]]&lt;&gt;"",Tabela_podst[[#This Row],[sem4.forma]],"")</f>
        <v/>
      </c>
      <c r="V34" s="377" t="str">
        <f>IF(Tabela_podst[[#This Row],[sem5.godziny]]&lt;&gt;"",IF(Tabela_podst[[#This Row],[sem5.godziny]]&gt;14,Tabela_podst[[#This Row],[sem5.godziny]]*0.6,Tabela_podst[[#This Row],[sem5.godziny]]),"")</f>
        <v/>
      </c>
      <c r="W34" s="377" t="str" cm="1">
        <f t="array" ref="W34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4" s="377" t="str">
        <f>IF(Tabela_podst[[#This Row],[sem5.forma]]&lt;&gt;"",Tabela_podst[[#This Row],[sem5.forma]],"")</f>
        <v/>
      </c>
      <c r="Y34" s="379" t="str">
        <f>IF(Tabela_podst[[#This Row],[sem6.godziny]]&lt;&gt;"",IF(Tabela_podst[[#This Row],[sem6.godziny]]&gt;14,Tabela_podst[[#This Row],[sem6.godziny]]*0.6,Tabela_podst[[#This Row],[sem6.godziny]]),"")</f>
        <v/>
      </c>
      <c r="Z34" s="379" t="str" cm="1">
        <f t="array" ref="Z34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4" s="379" t="str">
        <f>IF(Tabela_podst[[#This Row],[sem6.forma]]&lt;&gt;"",Tabela_podst[[#This Row],[sem6.forma]],"")</f>
        <v/>
      </c>
      <c r="AB34" s="381" t="str">
        <f>IF(Tabela_podst[[#This Row],[sem7.godziny]]&lt;&gt;"",IF(Tabela_podst[[#This Row],[sem7.godziny]]&gt;14,Tabela_podst[[#This Row],[sem7.godziny]]*0.6,Tabela_podst[[#This Row],[sem7.godziny]]),"")</f>
        <v/>
      </c>
      <c r="AC34" s="381" t="str" cm="1">
        <f t="array" ref="AC34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4" s="381" t="str">
        <f>IF(Tabela_podst[[#This Row],[sem7.forma]]&lt;&gt;"",Tabela_podst[[#This Row],[sem7.forma]],"")</f>
        <v/>
      </c>
      <c r="AE34" s="383" t="str">
        <f>IF(Tabela_podst[[#This Row],[sem8.godziny]]&lt;&gt;"",IF(Tabela_podst[[#This Row],[sem8.godziny]]&gt;14,Tabela_podst[[#This Row],[sem8.godziny]]*0.6,Tabela_podst[[#This Row],[sem8.godziny]]),"")</f>
        <v/>
      </c>
      <c r="AF34" s="383" t="str" cm="1">
        <f t="array" ref="AF34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4" s="383" t="str">
        <f>IF(Tabela_podst[[#This Row],[sem8.forma]]&lt;&gt;"",Tabela_podst[[#This Row],[sem8.forma]],"")</f>
        <v/>
      </c>
      <c r="AH34" s="385" t="str">
        <f>IF(Tabela_podst[[#This Row],[sem9.godziny]]&lt;&gt;"",IF(Tabela_podst[[#This Row],[sem9.godziny]]&gt;14,Tabela_podst[[#This Row],[sem9.godziny]]*0.6,Tabela_podst[[#This Row],[sem9.godziny]]),"")</f>
        <v/>
      </c>
      <c r="AI34" s="385" t="str" cm="1">
        <f t="array" ref="AI34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4" s="385" t="str">
        <f>IF(Tabela_podst[[#This Row],[sem9.forma]]&lt;&gt;"",Tabela_podst[[#This Row],[sem9.forma]],"")</f>
        <v/>
      </c>
      <c r="AK34" s="387" t="str">
        <f>IF(Tabela_podst[[#This Row],[sem10.godziny]]&lt;&gt;"",IF(Tabela_podst[[#This Row],[sem10.godziny]]&gt;14,Tabela_podst[[#This Row],[sem10.godziny]]*0.6,Tabela_podst[[#This Row],[sem10.godziny]]),"")</f>
        <v/>
      </c>
      <c r="AL34" s="387" t="str" cm="1">
        <f t="array" ref="AL34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4" s="387" t="str">
        <f>IF(Tabela_podst[[#This Row],[sem10.forma]]&lt;&gt;"",Tabela_podst[[#This Row],[sem10.forma]],"")</f>
        <v/>
      </c>
      <c r="AN34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34" s="389">
        <f>IF(ISERR(SEARCH("UP",Tabela_podst_nst[[#This Row],[Umiej.prakt.]],1)),0,Tabela_podst_nst[[#This Row],[ects.razem]])</f>
        <v>0</v>
      </c>
      <c r="AP34" s="390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34" s="391">
        <f>SUM(Tabela_podst_nst[[#This Row],[godziny.samoksztalcenie]],Tabela_podst_nst[[#This Row],[godziny.konsultacja]],Tabela_podst_nst[[#This Row],[godziny.egzamin]],Tabela_podst_nst[[#This Row],[godziny.zajec.razem]])</f>
        <v>27</v>
      </c>
      <c r="AR34" s="392">
        <f>Tabela_podst[[#This Row],[godziny.samoksztalcenie]]+(Tabela_podst[[#This Row],[godziny.zajec.razem]]-Tabela_podst_nst[[#This Row],[godziny.zajec.razem]])</f>
        <v>15</v>
      </c>
      <c r="AS34" s="393">
        <f>Tabela_podst[[#This Row],[godziny.konsultacja]]</f>
        <v>1</v>
      </c>
      <c r="AT34" s="394">
        <f>Tabela_podst[[#This Row],[godziny.egzamin]]</f>
        <v>2</v>
      </c>
      <c r="AU34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34" s="442">
        <f>IF(Tabela_podst_nst[[#This Row],[ects.bezposr.nauczyciel]],Tabela_podst_nst[[#This Row],[ects.bezposr.nauczyciel]]/Tabela_podst_nst[[#This Row],[ects.razem]],0)</f>
        <v>0.5</v>
      </c>
      <c r="AW34" s="49"/>
    </row>
    <row r="35" spans="1:49" ht="25.5" customHeight="1" x14ac:dyDescent="0.3">
      <c r="A35" s="207"/>
      <c r="B35" s="436" t="str">
        <f>IF(Tabela_podst[[#This Row],[kod.isced]]&lt;&gt;"",Tabela_podst[[#This Row],[kod.isced]],"")</f>
        <v>0031</v>
      </c>
      <c r="C35" s="437">
        <f>IF(Tabela_podst[[#This Row],[kod.dziedziny]]&lt;&gt;"",Tabela_podst[[#This Row],[kod.dziedziny]],"")</f>
        <v>504</v>
      </c>
      <c r="D35" s="437" t="str">
        <f>IF(Tabela_podst[[#This Row],[Modul]]&lt;&gt;"",Tabela_podst[[#This Row],[Modul]],"")</f>
        <v>pd.05.1</v>
      </c>
      <c r="E35" s="437" t="str">
        <f>IF(Tabela_podst[[#This Row],[Umiej.prakt.]]&lt;&gt;"",Tabela_podst[[#This Row],[Umiej.prakt.]],"")</f>
        <v>up</v>
      </c>
      <c r="F35" s="438" t="str">
        <f>IF(Tabela_podst[[#This Row],[Nazwa przedmiotu]]&lt;&gt;"",Tabela_podst[[#This Row],[Nazwa przedmiotu]],"")</f>
        <v>Komunikacja interpersonalna</v>
      </c>
      <c r="G35" s="439" t="str">
        <f>IF(Tabela_podst[[#This Row],[Prowadzacy]]&lt;&gt;"",Tabela_podst[[#This Row],[Prowadzacy]],"")</f>
        <v/>
      </c>
      <c r="H35" s="440" t="str">
        <f>IF(Tabela_podst[[#This Row],[Forma]]&lt;&gt;"",Tabela_podst[[#This Row],[Forma]],"")</f>
        <v>konwersatorium</v>
      </c>
      <c r="I35" s="441" t="str">
        <f>IF(Tabela_podst[[#This Row],[czy.ects]]&lt;&gt;"",Tabela_podst[[#This Row],[czy.ects]],"")</f>
        <v>TAK</v>
      </c>
      <c r="J35" s="369">
        <f>IF(Tabela_podst[[#This Row],[sem1.godziny]]&lt;&gt;"",IF(Tabela_podst[[#This Row],[sem1.godziny]]&gt;14,Tabela_podst[[#This Row],[sem1.godziny]]*0.6,Tabela_podst[[#This Row],[sem1.godziny]]),"")</f>
        <v>9</v>
      </c>
      <c r="K35" s="369" cm="1">
        <f t="array" ref="K35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>1</v>
      </c>
      <c r="L35" s="369" t="str">
        <f>IF(Tabela_podst[[#This Row],[sem1.forma]]&lt;&gt;"",Tabela_podst[[#This Row],[sem1.forma]],"")</f>
        <v>z</v>
      </c>
      <c r="M35" s="371" t="str">
        <f>IF(Tabela_podst[[#This Row],[sem2.godziny]]&lt;&gt;"",IF(Tabela_podst[[#This Row],[sem2.godziny]]&gt;14,Tabela_podst[[#This Row],[sem2.godziny]]*0.6,Tabela_podst[[#This Row],[sem2.godziny]]),"")</f>
        <v/>
      </c>
      <c r="N35" s="371" t="str" cm="1">
        <f t="array" ref="N35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5" s="371" t="str">
        <f>IF(Tabela_podst[[#This Row],[sem2.forma]]&lt;&gt;"",Tabela_podst[[#This Row],[sem2.forma]],"")</f>
        <v/>
      </c>
      <c r="P35" s="677" t="str">
        <f>IF(Tabela_podst[[#This Row],[sem3.godziny]]&lt;&gt;"",IF(Tabela_podst[[#This Row],[sem3.godziny]]&gt;14,Tabela_podst[[#This Row],[sem3.godziny]]*0.6,Tabela_podst[[#This Row],[sem3.godziny]]),"")</f>
        <v/>
      </c>
      <c r="Q35" s="373" t="str" cm="1">
        <f t="array" ref="Q35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5" s="677" t="str">
        <f>IF(Tabela_podst[[#This Row],[sem3.forma]]&lt;&gt;"",Tabela_podst[[#This Row],[sem3.forma]],"")</f>
        <v/>
      </c>
      <c r="S35" s="375" t="str">
        <f>IF(Tabela_podst[[#This Row],[sem4.godziny]]&lt;&gt;"",IF(Tabela_podst[[#This Row],[sem4.godziny]]&gt;14,Tabela_podst[[#This Row],[sem4.godziny]]*0.6,Tabela_podst[[#This Row],[sem4.godziny]]),"")</f>
        <v/>
      </c>
      <c r="T35" s="375" t="str" cm="1">
        <f t="array" ref="T35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5" s="375" t="str">
        <f>IF(Tabela_podst[[#This Row],[sem4.forma]]&lt;&gt;"",Tabela_podst[[#This Row],[sem4.forma]],"")</f>
        <v/>
      </c>
      <c r="V35" s="377" t="str">
        <f>IF(Tabela_podst[[#This Row],[sem5.godziny]]&lt;&gt;"",IF(Tabela_podst[[#This Row],[sem5.godziny]]&gt;14,Tabela_podst[[#This Row],[sem5.godziny]]*0.6,Tabela_podst[[#This Row],[sem5.godziny]]),"")</f>
        <v/>
      </c>
      <c r="W35" s="377" t="str" cm="1">
        <f t="array" ref="W35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5" s="377" t="str">
        <f>IF(Tabela_podst[[#This Row],[sem5.forma]]&lt;&gt;"",Tabela_podst[[#This Row],[sem5.forma]],"")</f>
        <v/>
      </c>
      <c r="Y35" s="379" t="str">
        <f>IF(Tabela_podst[[#This Row],[sem6.godziny]]&lt;&gt;"",IF(Tabela_podst[[#This Row],[sem6.godziny]]&gt;14,Tabela_podst[[#This Row],[sem6.godziny]]*0.6,Tabela_podst[[#This Row],[sem6.godziny]]),"")</f>
        <v/>
      </c>
      <c r="Z35" s="379" t="str" cm="1">
        <f t="array" ref="Z35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5" s="379" t="str">
        <f>IF(Tabela_podst[[#This Row],[sem6.forma]]&lt;&gt;"",Tabela_podst[[#This Row],[sem6.forma]],"")</f>
        <v/>
      </c>
      <c r="AB35" s="381" t="str">
        <f>IF(Tabela_podst[[#This Row],[sem7.godziny]]&lt;&gt;"",IF(Tabela_podst[[#This Row],[sem7.godziny]]&gt;14,Tabela_podst[[#This Row],[sem7.godziny]]*0.6,Tabela_podst[[#This Row],[sem7.godziny]]),"")</f>
        <v/>
      </c>
      <c r="AC35" s="381" t="str" cm="1">
        <f t="array" ref="AC35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5" s="381" t="str">
        <f>IF(Tabela_podst[[#This Row],[sem7.forma]]&lt;&gt;"",Tabela_podst[[#This Row],[sem7.forma]],"")</f>
        <v/>
      </c>
      <c r="AE35" s="383" t="str">
        <f>IF(Tabela_podst[[#This Row],[sem8.godziny]]&lt;&gt;"",IF(Tabela_podst[[#This Row],[sem8.godziny]]&gt;14,Tabela_podst[[#This Row],[sem8.godziny]]*0.6,Tabela_podst[[#This Row],[sem8.godziny]]),"")</f>
        <v/>
      </c>
      <c r="AF35" s="383" t="str" cm="1">
        <f t="array" ref="AF35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5" s="383" t="str">
        <f>IF(Tabela_podst[[#This Row],[sem8.forma]]&lt;&gt;"",Tabela_podst[[#This Row],[sem8.forma]],"")</f>
        <v/>
      </c>
      <c r="AH35" s="385" t="str">
        <f>IF(Tabela_podst[[#This Row],[sem9.godziny]]&lt;&gt;"",IF(Tabela_podst[[#This Row],[sem9.godziny]]&gt;14,Tabela_podst[[#This Row],[sem9.godziny]]*0.6,Tabela_podst[[#This Row],[sem9.godziny]]),"")</f>
        <v/>
      </c>
      <c r="AI35" s="385" t="str" cm="1">
        <f t="array" ref="AI35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5" s="385" t="str">
        <f>IF(Tabela_podst[[#This Row],[sem9.forma]]&lt;&gt;"",Tabela_podst[[#This Row],[sem9.forma]],"")</f>
        <v/>
      </c>
      <c r="AK35" s="387" t="str">
        <f>IF(Tabela_podst[[#This Row],[sem10.godziny]]&lt;&gt;"",IF(Tabela_podst[[#This Row],[sem10.godziny]]&gt;14,Tabela_podst[[#This Row],[sem10.godziny]]*0.6,Tabela_podst[[#This Row],[sem10.godziny]]),"")</f>
        <v/>
      </c>
      <c r="AL35" s="387" t="str" cm="1">
        <f t="array" ref="AL35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5" s="387" t="str">
        <f>IF(Tabela_podst[[#This Row],[sem10.forma]]&lt;&gt;"",Tabela_podst[[#This Row],[sem10.forma]],"")</f>
        <v/>
      </c>
      <c r="AN35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35" s="389">
        <f>IF(ISERR(SEARCH("UP",Tabela_podst_nst[[#This Row],[Umiej.prakt.]],1)),0,Tabela_podst_nst[[#This Row],[ects.razem]])</f>
        <v>1</v>
      </c>
      <c r="AP35" s="390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35" s="391">
        <f>SUM(Tabela_podst_nst[[#This Row],[godziny.samoksztalcenie]],Tabela_podst_nst[[#This Row],[godziny.konsultacja]],Tabela_podst_nst[[#This Row],[godziny.egzamin]],Tabela_podst_nst[[#This Row],[godziny.zajec.razem]])</f>
        <v>27</v>
      </c>
      <c r="AR35" s="392">
        <f>Tabela_podst[[#This Row],[godziny.samoksztalcenie]]+(Tabela_podst[[#This Row],[godziny.zajec.razem]]-Tabela_podst_nst[[#This Row],[godziny.zajec.razem]])</f>
        <v>15</v>
      </c>
      <c r="AS35" s="393">
        <f>Tabela_podst[[#This Row],[godziny.konsultacja]]</f>
        <v>1</v>
      </c>
      <c r="AT35" s="394">
        <f>Tabela_podst[[#This Row],[godziny.egzamin]]</f>
        <v>2</v>
      </c>
      <c r="AU35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35" s="442">
        <f>IF(Tabela_podst_nst[[#This Row],[ects.bezposr.nauczyciel]],Tabela_podst_nst[[#This Row],[ects.bezposr.nauczyciel]]/Tabela_podst_nst[[#This Row],[ects.razem]],0)</f>
        <v>0.5</v>
      </c>
      <c r="AW35" s="49"/>
    </row>
    <row r="36" spans="1:49" ht="25.5" customHeight="1" x14ac:dyDescent="0.3">
      <c r="A36" s="207"/>
      <c r="B36" s="436" t="str">
        <f>IF(Tabela_podst[[#This Row],[kod.isced]]&lt;&gt;"",Tabela_podst[[#This Row],[kod.isced]],"")</f>
        <v>0311</v>
      </c>
      <c r="C36" s="437">
        <f>IF(Tabela_podst[[#This Row],[kod.dziedziny]]&lt;&gt;"",Tabela_podst[[#This Row],[kod.dziedziny]],"")</f>
        <v>501</v>
      </c>
      <c r="D36" s="437" t="str">
        <f>IF(Tabela_podst[[#This Row],[Modul]]&lt;&gt;"",Tabela_podst[[#This Row],[Modul]],"")</f>
        <v>pd.06.1</v>
      </c>
      <c r="E36" s="437" t="str">
        <f>IF(Tabela_podst[[#This Row],[Umiej.prakt.]]&lt;&gt;"",Tabela_podst[[#This Row],[Umiej.prakt.]],"")</f>
        <v/>
      </c>
      <c r="F36" s="438" t="str">
        <f>IF(Tabela_podst[[#This Row],[Nazwa przedmiotu]]&lt;&gt;"",Tabela_podst[[#This Row],[Nazwa przedmiotu]],"")</f>
        <v>Marketing</v>
      </c>
      <c r="G36" s="439" t="str">
        <f>IF(Tabela_podst[[#This Row],[Prowadzacy]]&lt;&gt;"",Tabela_podst[[#This Row],[Prowadzacy]],"")</f>
        <v/>
      </c>
      <c r="H36" s="440" t="str">
        <f>IF(Tabela_podst[[#This Row],[Forma]]&lt;&gt;"",Tabela_podst[[#This Row],[Forma]],"")</f>
        <v>konwersatorium</v>
      </c>
      <c r="I36" s="441" t="str">
        <f>IF(Tabela_podst[[#This Row],[czy.ects]]&lt;&gt;"",Tabela_podst[[#This Row],[czy.ects]],"")</f>
        <v>TAK</v>
      </c>
      <c r="J36" s="369">
        <f>IF(Tabela_podst[[#This Row],[sem1.godziny]]&lt;&gt;"",IF(Tabela_podst[[#This Row],[sem1.godziny]]&gt;14,Tabela_podst[[#This Row],[sem1.godziny]]*0.6,Tabela_podst[[#This Row],[sem1.godziny]]),"")</f>
        <v>18</v>
      </c>
      <c r="K36" s="369">
        <v>3</v>
      </c>
      <c r="L36" s="369" t="str">
        <f>IF(Tabela_podst[[#This Row],[sem1.forma]]&lt;&gt;"",Tabela_podst[[#This Row],[sem1.forma]],"")</f>
        <v>z</v>
      </c>
      <c r="M36" s="371" t="str">
        <f>IF(Tabela_podst[[#This Row],[sem2.godziny]]&lt;&gt;"",IF(Tabela_podst[[#This Row],[sem2.godziny]]&gt;14,Tabela_podst[[#This Row],[sem2.godziny]]*0.6,Tabela_podst[[#This Row],[sem2.godziny]]),"")</f>
        <v/>
      </c>
      <c r="N36" s="371" t="str" cm="1">
        <f t="array" ref="N36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36" s="371" t="str">
        <f>IF(Tabela_podst[[#This Row],[sem2.forma]]&lt;&gt;"",Tabela_podst[[#This Row],[sem2.forma]],"")</f>
        <v/>
      </c>
      <c r="P36" s="677" t="str">
        <f>IF(Tabela_podst[[#This Row],[sem3.godziny]]&lt;&gt;"",IF(Tabela_podst[[#This Row],[sem3.godziny]]&gt;14,Tabela_podst[[#This Row],[sem3.godziny]]*0.6,Tabela_podst[[#This Row],[sem3.godziny]]),"")</f>
        <v/>
      </c>
      <c r="Q36" s="373" t="str" cm="1">
        <f t="array" ref="Q36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6" s="677" t="str">
        <f>IF(Tabela_podst[[#This Row],[sem3.forma]]&lt;&gt;"",Tabela_podst[[#This Row],[sem3.forma]],"")</f>
        <v/>
      </c>
      <c r="S36" s="375" t="str">
        <f>IF(Tabela_podst[[#This Row],[sem4.godziny]]&lt;&gt;"",IF(Tabela_podst[[#This Row],[sem4.godziny]]&gt;14,Tabela_podst[[#This Row],[sem4.godziny]]*0.6,Tabela_podst[[#This Row],[sem4.godziny]]),"")</f>
        <v/>
      </c>
      <c r="T36" s="375" t="str" cm="1">
        <f t="array" ref="T36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6" s="375" t="str">
        <f>IF(Tabela_podst[[#This Row],[sem4.forma]]&lt;&gt;"",Tabela_podst[[#This Row],[sem4.forma]],"")</f>
        <v/>
      </c>
      <c r="V36" s="377" t="str">
        <f>IF(Tabela_podst[[#This Row],[sem5.godziny]]&lt;&gt;"",IF(Tabela_podst[[#This Row],[sem5.godziny]]&gt;14,Tabela_podst[[#This Row],[sem5.godziny]]*0.6,Tabela_podst[[#This Row],[sem5.godziny]]),"")</f>
        <v/>
      </c>
      <c r="W36" s="377" t="str" cm="1">
        <f t="array" ref="W36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6" s="377" t="str">
        <f>IF(Tabela_podst[[#This Row],[sem5.forma]]&lt;&gt;"",Tabela_podst[[#This Row],[sem5.forma]],"")</f>
        <v/>
      </c>
      <c r="Y36" s="379" t="str">
        <f>IF(Tabela_podst[[#This Row],[sem6.godziny]]&lt;&gt;"",IF(Tabela_podst[[#This Row],[sem6.godziny]]&gt;14,Tabela_podst[[#This Row],[sem6.godziny]]*0.6,Tabela_podst[[#This Row],[sem6.godziny]]),"")</f>
        <v/>
      </c>
      <c r="Z36" s="379" t="str" cm="1">
        <f t="array" ref="Z36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6" s="379" t="str">
        <f>IF(Tabela_podst[[#This Row],[sem6.forma]]&lt;&gt;"",Tabela_podst[[#This Row],[sem6.forma]],"")</f>
        <v/>
      </c>
      <c r="AB36" s="381" t="str">
        <f>IF(Tabela_podst[[#This Row],[sem7.godziny]]&lt;&gt;"",IF(Tabela_podst[[#This Row],[sem7.godziny]]&gt;14,Tabela_podst[[#This Row],[sem7.godziny]]*0.6,Tabela_podst[[#This Row],[sem7.godziny]]),"")</f>
        <v/>
      </c>
      <c r="AC36" s="381" t="str" cm="1">
        <f t="array" ref="AC36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6" s="381" t="str">
        <f>IF(Tabela_podst[[#This Row],[sem7.forma]]&lt;&gt;"",Tabela_podst[[#This Row],[sem7.forma]],"")</f>
        <v/>
      </c>
      <c r="AE36" s="383" t="str">
        <f>IF(Tabela_podst[[#This Row],[sem8.godziny]]&lt;&gt;"",IF(Tabela_podst[[#This Row],[sem8.godziny]]&gt;14,Tabela_podst[[#This Row],[sem8.godziny]]*0.6,Tabela_podst[[#This Row],[sem8.godziny]]),"")</f>
        <v/>
      </c>
      <c r="AF36" s="383" t="str" cm="1">
        <f t="array" ref="AF36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6" s="383" t="str">
        <f>IF(Tabela_podst[[#This Row],[sem8.forma]]&lt;&gt;"",Tabela_podst[[#This Row],[sem8.forma]],"")</f>
        <v/>
      </c>
      <c r="AH36" s="385" t="str">
        <f>IF(Tabela_podst[[#This Row],[sem9.godziny]]&lt;&gt;"",IF(Tabela_podst[[#This Row],[sem9.godziny]]&gt;14,Tabela_podst[[#This Row],[sem9.godziny]]*0.6,Tabela_podst[[#This Row],[sem9.godziny]]),"")</f>
        <v/>
      </c>
      <c r="AI36" s="385" t="str" cm="1">
        <f t="array" ref="AI36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6" s="385" t="str">
        <f>IF(Tabela_podst[[#This Row],[sem9.forma]]&lt;&gt;"",Tabela_podst[[#This Row],[sem9.forma]],"")</f>
        <v/>
      </c>
      <c r="AK36" s="387" t="str">
        <f>IF(Tabela_podst[[#This Row],[sem10.godziny]]&lt;&gt;"",IF(Tabela_podst[[#This Row],[sem10.godziny]]&gt;14,Tabela_podst[[#This Row],[sem10.godziny]]*0.6,Tabela_podst[[#This Row],[sem10.godziny]]),"")</f>
        <v/>
      </c>
      <c r="AL36" s="387" t="str" cm="1">
        <f t="array" ref="AL36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6" s="387" t="str">
        <f>IF(Tabela_podst[[#This Row],[sem10.forma]]&lt;&gt;"",Tabela_podst[[#This Row],[sem10.forma]],"")</f>
        <v/>
      </c>
      <c r="AN36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3</v>
      </c>
      <c r="AO36" s="389">
        <f>IF(ISERR(SEARCH("UP",Tabela_podst_nst[[#This Row],[Umiej.prakt.]],1)),0,Tabela_podst_nst[[#This Row],[ects.razem]])</f>
        <v>0</v>
      </c>
      <c r="AP36" s="390">
        <f>IF(Tabela_podst_nst[[#This Row],[czy.ects]]="TAK",ROUND((SUM(Tabela_podst_nst[[#This Row],[godziny.konsultacja]],Tabela_podst_nst[[#This Row],[godziny.egzamin]],Tabela_podst_nst[[#This Row],[godziny.zajec.razem]])/25)/0.5,0)*0.5,0)</f>
        <v>1</v>
      </c>
      <c r="AQ36" s="391">
        <f>SUM(Tabela_podst_nst[[#This Row],[godziny.samoksztalcenie]],Tabela_podst_nst[[#This Row],[godziny.konsultacja]],Tabela_podst_nst[[#This Row],[godziny.egzamin]],Tabela_podst_nst[[#This Row],[godziny.zajec.razem]])</f>
        <v>52</v>
      </c>
      <c r="AR36" s="392">
        <f>Tabela_podst[[#This Row],[godziny.samoksztalcenie]]+(Tabela_podst[[#This Row],[godziny.zajec.razem]]-Tabela_podst_nst[[#This Row],[godziny.zajec.razem]])</f>
        <v>29</v>
      </c>
      <c r="AS36" s="393">
        <f>Tabela_podst[[#This Row],[godziny.konsultacja]]</f>
        <v>3</v>
      </c>
      <c r="AT36" s="394">
        <f>Tabela_podst[[#This Row],[godziny.egzamin]]</f>
        <v>2</v>
      </c>
      <c r="AU36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18</v>
      </c>
      <c r="AV36" s="442">
        <f>IF(Tabela_podst_nst[[#This Row],[ects.bezposr.nauczyciel]],Tabela_podst_nst[[#This Row],[ects.bezposr.nauczyciel]]/Tabela_podst_nst[[#This Row],[ects.razem]],0)</f>
        <v>0.33333333333333331</v>
      </c>
      <c r="AW36" s="49"/>
    </row>
    <row r="37" spans="1:49" ht="25.5" customHeight="1" x14ac:dyDescent="0.3">
      <c r="A37" s="207"/>
      <c r="B37" s="436" t="str">
        <f>IF(Tabela_podst[[#This Row],[kod.isced]]&lt;&gt;"",Tabela_podst[[#This Row],[kod.isced]],"")</f>
        <v>0311</v>
      </c>
      <c r="C37" s="437">
        <f>IF(Tabela_podst[[#This Row],[kod.dziedziny]]&lt;&gt;"",Tabela_podst[[#This Row],[kod.dziedziny]],"")</f>
        <v>501</v>
      </c>
      <c r="D37" s="437" t="str">
        <f>IF(Tabela_podst[[#This Row],[Modul]]&lt;&gt;"",Tabela_podst[[#This Row],[Modul]],"")</f>
        <v>pd.07.1</v>
      </c>
      <c r="E37" s="437" t="str">
        <f>IF(Tabela_podst[[#This Row],[Umiej.prakt.]]&lt;&gt;"",Tabela_podst[[#This Row],[Umiej.prakt.]],"")</f>
        <v/>
      </c>
      <c r="F37" s="438" t="str">
        <f>IF(Tabela_podst[[#This Row],[Nazwa przedmiotu]]&lt;&gt;"",Tabela_podst[[#This Row],[Nazwa przedmiotu]],"")</f>
        <v>Mikroekonomia</v>
      </c>
      <c r="G37" s="439" t="str">
        <f>IF(Tabela_podst[[#This Row],[Prowadzacy]]&lt;&gt;"",Tabela_podst[[#This Row],[Prowadzacy]],"")</f>
        <v/>
      </c>
      <c r="H37" s="440" t="str">
        <f>IF(Tabela_podst[[#This Row],[Forma]]&lt;&gt;"",Tabela_podst[[#This Row],[Forma]],"")</f>
        <v>wykład</v>
      </c>
      <c r="I37" s="441" t="str">
        <f>IF(Tabela_podst[[#This Row],[czy.ects]]&lt;&gt;"",Tabela_podst[[#This Row],[czy.ects]],"")</f>
        <v>TAK</v>
      </c>
      <c r="J37" s="369" t="str">
        <f>IF(Tabela_podst[[#This Row],[sem1.godziny]]&lt;&gt;"",IF(Tabela_podst[[#This Row],[sem1.godziny]]&gt;14,Tabela_podst[[#This Row],[sem1.godziny]]*0.6,Tabela_podst[[#This Row],[sem1.godziny]]),"")</f>
        <v/>
      </c>
      <c r="K37" s="369" t="str" cm="1">
        <f t="array" ref="K37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/>
      </c>
      <c r="L37" s="369" t="str">
        <f>IF(Tabela_podst[[#This Row],[sem1.forma]]&lt;&gt;"",Tabela_podst[[#This Row],[sem1.forma]],"")</f>
        <v/>
      </c>
      <c r="M37" s="371">
        <f>IF(Tabela_podst[[#This Row],[sem2.godziny]]&lt;&gt;"",IF(Tabela_podst[[#This Row],[sem2.godziny]]&gt;14,Tabela_podst[[#This Row],[sem2.godziny]]*0.6,Tabela_podst[[#This Row],[sem2.godziny]]),"")</f>
        <v>9</v>
      </c>
      <c r="N37" s="371" cm="1">
        <f t="array" ref="N37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>1</v>
      </c>
      <c r="O37" s="371" t="str">
        <f>IF(Tabela_podst[[#This Row],[sem2.forma]]&lt;&gt;"",Tabela_podst[[#This Row],[sem2.forma]],"")</f>
        <v>z</v>
      </c>
      <c r="P37" s="677" t="str">
        <f>IF(Tabela_podst[[#This Row],[sem3.godziny]]&lt;&gt;"",IF(Tabela_podst[[#This Row],[sem3.godziny]]&gt;14,Tabela_podst[[#This Row],[sem3.godziny]]*0.6,Tabela_podst[[#This Row],[sem3.godziny]]),"")</f>
        <v/>
      </c>
      <c r="Q37" s="373" t="str" cm="1">
        <f t="array" ref="Q37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7" s="677" t="str">
        <f>IF(Tabela_podst[[#This Row],[sem3.forma]]&lt;&gt;"",Tabela_podst[[#This Row],[sem3.forma]],"")</f>
        <v/>
      </c>
      <c r="S37" s="375" t="str">
        <f>IF(Tabela_podst[[#This Row],[sem4.godziny]]&lt;&gt;"",IF(Tabela_podst[[#This Row],[sem4.godziny]]&gt;14,Tabela_podst[[#This Row],[sem4.godziny]]*0.6,Tabela_podst[[#This Row],[sem4.godziny]]),"")</f>
        <v/>
      </c>
      <c r="T37" s="375" t="str" cm="1">
        <f t="array" ref="T37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7" s="375" t="str">
        <f>IF(Tabela_podst[[#This Row],[sem4.forma]]&lt;&gt;"",Tabela_podst[[#This Row],[sem4.forma]],"")</f>
        <v/>
      </c>
      <c r="V37" s="377" t="str">
        <f>IF(Tabela_podst[[#This Row],[sem5.godziny]]&lt;&gt;"",IF(Tabela_podst[[#This Row],[sem5.godziny]]&gt;14,Tabela_podst[[#This Row],[sem5.godziny]]*0.6,Tabela_podst[[#This Row],[sem5.godziny]]),"")</f>
        <v/>
      </c>
      <c r="W37" s="377" t="str" cm="1">
        <f t="array" ref="W37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7" s="377" t="str">
        <f>IF(Tabela_podst[[#This Row],[sem5.forma]]&lt;&gt;"",Tabela_podst[[#This Row],[sem5.forma]],"")</f>
        <v/>
      </c>
      <c r="Y37" s="379" t="str">
        <f>IF(Tabela_podst[[#This Row],[sem6.godziny]]&lt;&gt;"",IF(Tabela_podst[[#This Row],[sem6.godziny]]&gt;14,Tabela_podst[[#This Row],[sem6.godziny]]*0.6,Tabela_podst[[#This Row],[sem6.godziny]]),"")</f>
        <v/>
      </c>
      <c r="Z37" s="379" t="str" cm="1">
        <f t="array" ref="Z37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7" s="379" t="str">
        <f>IF(Tabela_podst[[#This Row],[sem6.forma]]&lt;&gt;"",Tabela_podst[[#This Row],[sem6.forma]],"")</f>
        <v/>
      </c>
      <c r="AB37" s="381" t="str">
        <f>IF(Tabela_podst[[#This Row],[sem7.godziny]]&lt;&gt;"",IF(Tabela_podst[[#This Row],[sem7.godziny]]&gt;14,Tabela_podst[[#This Row],[sem7.godziny]]*0.6,Tabela_podst[[#This Row],[sem7.godziny]]),"")</f>
        <v/>
      </c>
      <c r="AC37" s="381" t="str" cm="1">
        <f t="array" ref="AC37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7" s="381" t="str">
        <f>IF(Tabela_podst[[#This Row],[sem7.forma]]&lt;&gt;"",Tabela_podst[[#This Row],[sem7.forma]],"")</f>
        <v/>
      </c>
      <c r="AE37" s="383" t="str">
        <f>IF(Tabela_podst[[#This Row],[sem8.godziny]]&lt;&gt;"",IF(Tabela_podst[[#This Row],[sem8.godziny]]&gt;14,Tabela_podst[[#This Row],[sem8.godziny]]*0.6,Tabela_podst[[#This Row],[sem8.godziny]]),"")</f>
        <v/>
      </c>
      <c r="AF37" s="383" t="str" cm="1">
        <f t="array" ref="AF37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7" s="383" t="str">
        <f>IF(Tabela_podst[[#This Row],[sem8.forma]]&lt;&gt;"",Tabela_podst[[#This Row],[sem8.forma]],"")</f>
        <v/>
      </c>
      <c r="AH37" s="385" t="str">
        <f>IF(Tabela_podst[[#This Row],[sem9.godziny]]&lt;&gt;"",IF(Tabela_podst[[#This Row],[sem9.godziny]]&gt;14,Tabela_podst[[#This Row],[sem9.godziny]]*0.6,Tabela_podst[[#This Row],[sem9.godziny]]),"")</f>
        <v/>
      </c>
      <c r="AI37" s="385" t="str" cm="1">
        <f t="array" ref="AI37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7" s="385" t="str">
        <f>IF(Tabela_podst[[#This Row],[sem9.forma]]&lt;&gt;"",Tabela_podst[[#This Row],[sem9.forma]],"")</f>
        <v/>
      </c>
      <c r="AK37" s="387" t="str">
        <f>IF(Tabela_podst[[#This Row],[sem10.godziny]]&lt;&gt;"",IF(Tabela_podst[[#This Row],[sem10.godziny]]&gt;14,Tabela_podst[[#This Row],[sem10.godziny]]*0.6,Tabela_podst[[#This Row],[sem10.godziny]]),"")</f>
        <v/>
      </c>
      <c r="AL37" s="387" t="str" cm="1">
        <f t="array" ref="AL37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7" s="387" t="str">
        <f>IF(Tabela_podst[[#This Row],[sem10.forma]]&lt;&gt;"",Tabela_podst[[#This Row],[sem10.forma]],"")</f>
        <v/>
      </c>
      <c r="AN37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37" s="389">
        <f>IF(ISERR(SEARCH("UP",Tabela_podst_nst[[#This Row],[Umiej.prakt.]],1)),0,Tabela_podst_nst[[#This Row],[ects.razem]])</f>
        <v>0</v>
      </c>
      <c r="AP37" s="390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37" s="391">
        <f>SUM(Tabela_podst_nst[[#This Row],[godziny.samoksztalcenie]],Tabela_podst_nst[[#This Row],[godziny.konsultacja]],Tabela_podst_nst[[#This Row],[godziny.egzamin]],Tabela_podst_nst[[#This Row],[godziny.zajec.razem]])</f>
        <v>27</v>
      </c>
      <c r="AR37" s="392">
        <f>Tabela_podst[[#This Row],[godziny.samoksztalcenie]]+(Tabela_podst[[#This Row],[godziny.zajec.razem]]-Tabela_podst_nst[[#This Row],[godziny.zajec.razem]])</f>
        <v>15</v>
      </c>
      <c r="AS37" s="393">
        <f>Tabela_podst[[#This Row],[godziny.konsultacja]]</f>
        <v>1</v>
      </c>
      <c r="AT37" s="394">
        <f>Tabela_podst[[#This Row],[godziny.egzamin]]</f>
        <v>2</v>
      </c>
      <c r="AU37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37" s="442">
        <f>IF(Tabela_podst_nst[[#This Row],[ects.bezposr.nauczyciel]],Tabela_podst_nst[[#This Row],[ects.bezposr.nauczyciel]]/Tabela_podst_nst[[#This Row],[ects.razem]],0)</f>
        <v>0.5</v>
      </c>
      <c r="AW37" s="49"/>
    </row>
    <row r="38" spans="1:49" ht="25.5" customHeight="1" x14ac:dyDescent="0.3">
      <c r="A38" s="207"/>
      <c r="B38" s="436" t="str">
        <f>IF(Tabela_podst[[#This Row],[kod.isced]]&lt;&gt;"",Tabela_podst[[#This Row],[kod.isced]],"")</f>
        <v>0588</v>
      </c>
      <c r="C38" s="437">
        <f>IF(Tabela_podst[[#This Row],[kod.dziedziny]]&lt;&gt;"",Tabela_podst[[#This Row],[kod.dziedziny]],"")</f>
        <v>501</v>
      </c>
      <c r="D38" s="437" t="str">
        <f>IF(Tabela_podst[[#This Row],[Modul]]&lt;&gt;"",Tabela_podst[[#This Row],[Modul]],"")</f>
        <v>pd.07.2</v>
      </c>
      <c r="E38" s="437" t="str">
        <f>IF(Tabela_podst[[#This Row],[Umiej.prakt.]]&lt;&gt;"",Tabela_podst[[#This Row],[Umiej.prakt.]],"")</f>
        <v/>
      </c>
      <c r="F38" s="438" t="str">
        <f>IF(Tabela_podst[[#This Row],[Nazwa przedmiotu]]&lt;&gt;"",Tabela_podst[[#This Row],[Nazwa przedmiotu]],"")</f>
        <v>Mikroekonomia</v>
      </c>
      <c r="G38" s="439" t="str">
        <f>IF(Tabela_podst[[#This Row],[Prowadzacy]]&lt;&gt;"",Tabela_podst[[#This Row],[Prowadzacy]],"")</f>
        <v/>
      </c>
      <c r="H38" s="440" t="str">
        <f>IF(Tabela_podst[[#This Row],[Forma]]&lt;&gt;"",Tabela_podst[[#This Row],[Forma]],"")</f>
        <v>ćwiczenia</v>
      </c>
      <c r="I38" s="441" t="str">
        <f>IF(Tabela_podst[[#This Row],[czy.ects]]&lt;&gt;"",Tabela_podst[[#This Row],[czy.ects]],"")</f>
        <v>TAK</v>
      </c>
      <c r="J38" s="369" t="str">
        <f>IF(Tabela_podst[[#This Row],[sem1.godziny]]&lt;&gt;"",IF(Tabela_podst[[#This Row],[sem1.godziny]]&gt;14,Tabela_podst[[#This Row],[sem1.godziny]]*0.6,Tabela_podst[[#This Row],[sem1.godziny]]),"")</f>
        <v/>
      </c>
      <c r="K38" s="369" t="str" cm="1">
        <f t="array" ref="K38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/>
      </c>
      <c r="L38" s="369" t="str">
        <f>IF(Tabela_podst[[#This Row],[sem1.forma]]&lt;&gt;"",Tabela_podst[[#This Row],[sem1.forma]],"")</f>
        <v/>
      </c>
      <c r="M38" s="371">
        <f>IF(Tabela_podst[[#This Row],[sem2.godziny]]&lt;&gt;"",IF(Tabela_podst[[#This Row],[sem2.godziny]]&gt;14,Tabela_podst[[#This Row],[sem2.godziny]]*0.6,Tabela_podst[[#This Row],[sem2.godziny]]),"")</f>
        <v>9</v>
      </c>
      <c r="N38" s="371">
        <v>1</v>
      </c>
      <c r="O38" s="371" t="str">
        <f>IF(Tabela_podst[[#This Row],[sem2.forma]]&lt;&gt;"",Tabela_podst[[#This Row],[sem2.forma]],"")</f>
        <v>z</v>
      </c>
      <c r="P38" s="677" t="str">
        <f>IF(Tabela_podst[[#This Row],[sem3.godziny]]&lt;&gt;"",IF(Tabela_podst[[#This Row],[sem3.godziny]]&gt;14,Tabela_podst[[#This Row],[sem3.godziny]]*0.6,Tabela_podst[[#This Row],[sem3.godziny]]),"")</f>
        <v/>
      </c>
      <c r="Q38" s="373" t="str" cm="1">
        <f t="array" ref="Q38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8" s="677" t="str">
        <f>IF(Tabela_podst[[#This Row],[sem3.forma]]&lt;&gt;"",Tabela_podst[[#This Row],[sem3.forma]],"")</f>
        <v/>
      </c>
      <c r="S38" s="375" t="str">
        <f>IF(Tabela_podst[[#This Row],[sem4.godziny]]&lt;&gt;"",IF(Tabela_podst[[#This Row],[sem4.godziny]]&gt;14,Tabela_podst[[#This Row],[sem4.godziny]]*0.6,Tabela_podst[[#This Row],[sem4.godziny]]),"")</f>
        <v/>
      </c>
      <c r="T38" s="375" t="str" cm="1">
        <f t="array" ref="T38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8" s="375" t="str">
        <f>IF(Tabela_podst[[#This Row],[sem4.forma]]&lt;&gt;"",Tabela_podst[[#This Row],[sem4.forma]],"")</f>
        <v/>
      </c>
      <c r="V38" s="377" t="str">
        <f>IF(Tabela_podst[[#This Row],[sem5.godziny]]&lt;&gt;"",IF(Tabela_podst[[#This Row],[sem5.godziny]]&gt;14,Tabela_podst[[#This Row],[sem5.godziny]]*0.6,Tabela_podst[[#This Row],[sem5.godziny]]),"")</f>
        <v/>
      </c>
      <c r="W38" s="377" t="str" cm="1">
        <f t="array" ref="W38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8" s="377" t="str">
        <f>IF(Tabela_podst[[#This Row],[sem5.forma]]&lt;&gt;"",Tabela_podst[[#This Row],[sem5.forma]],"")</f>
        <v/>
      </c>
      <c r="Y38" s="379" t="str">
        <f>IF(Tabela_podst[[#This Row],[sem6.godziny]]&lt;&gt;"",IF(Tabela_podst[[#This Row],[sem6.godziny]]&gt;14,Tabela_podst[[#This Row],[sem6.godziny]]*0.6,Tabela_podst[[#This Row],[sem6.godziny]]),"")</f>
        <v/>
      </c>
      <c r="Z38" s="379" t="str" cm="1">
        <f t="array" ref="Z38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8" s="379" t="str">
        <f>IF(Tabela_podst[[#This Row],[sem6.forma]]&lt;&gt;"",Tabela_podst[[#This Row],[sem6.forma]],"")</f>
        <v/>
      </c>
      <c r="AB38" s="381" t="str">
        <f>IF(Tabela_podst[[#This Row],[sem7.godziny]]&lt;&gt;"",IF(Tabela_podst[[#This Row],[sem7.godziny]]&gt;14,Tabela_podst[[#This Row],[sem7.godziny]]*0.6,Tabela_podst[[#This Row],[sem7.godziny]]),"")</f>
        <v/>
      </c>
      <c r="AC38" s="381" t="str" cm="1">
        <f t="array" ref="AC38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8" s="381" t="str">
        <f>IF(Tabela_podst[[#This Row],[sem7.forma]]&lt;&gt;"",Tabela_podst[[#This Row],[sem7.forma]],"")</f>
        <v/>
      </c>
      <c r="AE38" s="383" t="str">
        <f>IF(Tabela_podst[[#This Row],[sem8.godziny]]&lt;&gt;"",IF(Tabela_podst[[#This Row],[sem8.godziny]]&gt;14,Tabela_podst[[#This Row],[sem8.godziny]]*0.6,Tabela_podst[[#This Row],[sem8.godziny]]),"")</f>
        <v/>
      </c>
      <c r="AF38" s="383" t="str" cm="1">
        <f t="array" ref="AF38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8" s="383" t="str">
        <f>IF(Tabela_podst[[#This Row],[sem8.forma]]&lt;&gt;"",Tabela_podst[[#This Row],[sem8.forma]],"")</f>
        <v/>
      </c>
      <c r="AH38" s="385" t="str">
        <f>IF(Tabela_podst[[#This Row],[sem9.godziny]]&lt;&gt;"",IF(Tabela_podst[[#This Row],[sem9.godziny]]&gt;14,Tabela_podst[[#This Row],[sem9.godziny]]*0.6,Tabela_podst[[#This Row],[sem9.godziny]]),"")</f>
        <v/>
      </c>
      <c r="AI38" s="385" t="str" cm="1">
        <f t="array" ref="AI38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8" s="385" t="str">
        <f>IF(Tabela_podst[[#This Row],[sem9.forma]]&lt;&gt;"",Tabela_podst[[#This Row],[sem9.forma]],"")</f>
        <v/>
      </c>
      <c r="AK38" s="387" t="str">
        <f>IF(Tabela_podst[[#This Row],[sem10.godziny]]&lt;&gt;"",IF(Tabela_podst[[#This Row],[sem10.godziny]]&gt;14,Tabela_podst[[#This Row],[sem10.godziny]]*0.6,Tabela_podst[[#This Row],[sem10.godziny]]),"")</f>
        <v/>
      </c>
      <c r="AL38" s="387" t="str" cm="1">
        <f t="array" ref="AL38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8" s="387" t="str">
        <f>IF(Tabela_podst[[#This Row],[sem10.forma]]&lt;&gt;"",Tabela_podst[[#This Row],[sem10.forma]],"")</f>
        <v/>
      </c>
      <c r="AN38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38" s="389">
        <f>IF(ISERR(SEARCH("UP",Tabela_podst_nst[[#This Row],[Umiej.prakt.]],1)),0,Tabela_podst_nst[[#This Row],[ects.razem]])</f>
        <v>0</v>
      </c>
      <c r="AP38" s="390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38" s="391">
        <f>SUM(Tabela_podst_nst[[#This Row],[godziny.samoksztalcenie]],Tabela_podst_nst[[#This Row],[godziny.konsultacja]],Tabela_podst_nst[[#This Row],[godziny.egzamin]],Tabela_podst_nst[[#This Row],[godziny.zajec.razem]])</f>
        <v>27</v>
      </c>
      <c r="AR38" s="392">
        <f>Tabela_podst[[#This Row],[godziny.samoksztalcenie]]+(Tabela_podst[[#This Row],[godziny.zajec.razem]]-Tabela_podst_nst[[#This Row],[godziny.zajec.razem]])</f>
        <v>15</v>
      </c>
      <c r="AS38" s="393">
        <f>Tabela_podst[[#This Row],[godziny.konsultacja]]</f>
        <v>1</v>
      </c>
      <c r="AT38" s="394">
        <f>Tabela_podst[[#This Row],[godziny.egzamin]]</f>
        <v>2</v>
      </c>
      <c r="AU38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38" s="442">
        <f>IF(Tabela_podst_nst[[#This Row],[ects.bezposr.nauczyciel]],Tabela_podst_nst[[#This Row],[ects.bezposr.nauczyciel]]/Tabela_podst_nst[[#This Row],[ects.razem]],0)</f>
        <v>0.5</v>
      </c>
      <c r="AW38" s="49"/>
    </row>
    <row r="39" spans="1:49" ht="25.5" customHeight="1" x14ac:dyDescent="0.3">
      <c r="A39" s="207"/>
      <c r="B39" s="436" t="str">
        <f>IF(Tabela_podst[[#This Row],[kod.isced]]&lt;&gt;"",Tabela_podst[[#This Row],[kod.isced]],"")</f>
        <v>0414</v>
      </c>
      <c r="C39" s="437">
        <f>IF(Tabela_podst[[#This Row],[kod.dziedziny]]&lt;&gt;"",Tabela_podst[[#This Row],[kod.dziedziny]],"")</f>
        <v>501</v>
      </c>
      <c r="D39" s="437" t="str">
        <f>IF(Tabela_podst[[#This Row],[Modul]]&lt;&gt;"",Tabela_podst[[#This Row],[Modul]],"")</f>
        <v>pd.08.1</v>
      </c>
      <c r="E39" s="437" t="str">
        <f>IF(Tabela_podst[[#This Row],[Umiej.prakt.]]&lt;&gt;"",Tabela_podst[[#This Row],[Umiej.prakt.]],"")</f>
        <v/>
      </c>
      <c r="F39" s="438" t="str">
        <f>IF(Tabela_podst[[#This Row],[Nazwa przedmiotu]]&lt;&gt;"",Tabela_podst[[#This Row],[Nazwa przedmiotu]],"")</f>
        <v>Zastosowanie metod ilościowych</v>
      </c>
      <c r="G39" s="439" t="str">
        <f>IF(Tabela_podst[[#This Row],[Prowadzacy]]&lt;&gt;"",Tabela_podst[[#This Row],[Prowadzacy]],"")</f>
        <v/>
      </c>
      <c r="H39" s="440" t="str">
        <f>IF(Tabela_podst[[#This Row],[Forma]]&lt;&gt;"",Tabela_podst[[#This Row],[Forma]],"")</f>
        <v>laboratoria</v>
      </c>
      <c r="I39" s="441" t="str">
        <f>IF(Tabela_podst[[#This Row],[czy.ects]]&lt;&gt;"",Tabela_podst[[#This Row],[czy.ects]],"")</f>
        <v>TAK</v>
      </c>
      <c r="J39" s="369" t="str">
        <f>IF(Tabela_podst[[#This Row],[sem1.godziny]]&lt;&gt;"",IF(Tabela_podst[[#This Row],[sem1.godziny]]&gt;14,Tabela_podst[[#This Row],[sem1.godziny]]*0.6,Tabela_podst[[#This Row],[sem1.godziny]]),"")</f>
        <v/>
      </c>
      <c r="K39" s="369"/>
      <c r="L39" s="369" t="str">
        <f>IF(Tabela_podst[[#This Row],[sem1.forma]]&lt;&gt;"",Tabela_podst[[#This Row],[sem1.forma]],"")</f>
        <v/>
      </c>
      <c r="M39" s="371">
        <f>IF(Tabela_podst[[#This Row],[sem2.godziny]]&lt;&gt;"",IF(Tabela_podst[[#This Row],[sem2.godziny]]&gt;14,Tabela_podst[[#This Row],[sem2.godziny]]*0.6,Tabela_podst[[#This Row],[sem2.godziny]]),"")</f>
        <v>18</v>
      </c>
      <c r="N39" s="371">
        <v>3</v>
      </c>
      <c r="O39" s="371" t="str">
        <f>IF(Tabela_podst[[#This Row],[sem2.forma]]&lt;&gt;"",Tabela_podst[[#This Row],[sem2.forma]],"")</f>
        <v>z</v>
      </c>
      <c r="P39" s="677" t="str">
        <f>IF(Tabela_podst[[#This Row],[sem3.godziny]]&lt;&gt;"",IF(Tabela_podst[[#This Row],[sem3.godziny]]&gt;14,Tabela_podst[[#This Row],[sem3.godziny]]*0.6,Tabela_podst[[#This Row],[sem3.godziny]]),"")</f>
        <v/>
      </c>
      <c r="Q39" s="373" t="str" cm="1">
        <f t="array" ref="Q39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39" s="677" t="str">
        <f>IF(Tabela_podst[[#This Row],[sem3.forma]]&lt;&gt;"",Tabela_podst[[#This Row],[sem3.forma]],"")</f>
        <v/>
      </c>
      <c r="S39" s="375" t="str">
        <f>IF(Tabela_podst[[#This Row],[sem4.godziny]]&lt;&gt;"",IF(Tabela_podst[[#This Row],[sem4.godziny]]&gt;14,Tabela_podst[[#This Row],[sem4.godziny]]*0.6,Tabela_podst[[#This Row],[sem4.godziny]]),"")</f>
        <v/>
      </c>
      <c r="T39" s="375" t="str" cm="1">
        <f t="array" ref="T39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39" s="375" t="str">
        <f>IF(Tabela_podst[[#This Row],[sem4.forma]]&lt;&gt;"",Tabela_podst[[#This Row],[sem4.forma]],"")</f>
        <v/>
      </c>
      <c r="V39" s="377" t="str">
        <f>IF(Tabela_podst[[#This Row],[sem5.godziny]]&lt;&gt;"",IF(Tabela_podst[[#This Row],[sem5.godziny]]&gt;14,Tabela_podst[[#This Row],[sem5.godziny]]*0.6,Tabela_podst[[#This Row],[sem5.godziny]]),"")</f>
        <v/>
      </c>
      <c r="W39" s="377" t="str" cm="1">
        <f t="array" ref="W39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/>
      </c>
      <c r="X39" s="377" t="str">
        <f>IF(Tabela_podst[[#This Row],[sem5.forma]]&lt;&gt;"",Tabela_podst[[#This Row],[sem5.forma]],"")</f>
        <v/>
      </c>
      <c r="Y39" s="379" t="str">
        <f>IF(Tabela_podst[[#This Row],[sem6.godziny]]&lt;&gt;"",IF(Tabela_podst[[#This Row],[sem6.godziny]]&gt;14,Tabela_podst[[#This Row],[sem6.godziny]]*0.6,Tabela_podst[[#This Row],[sem6.godziny]]),"")</f>
        <v/>
      </c>
      <c r="Z39" s="379" t="str" cm="1">
        <f t="array" ref="Z39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39" s="379" t="str">
        <f>IF(Tabela_podst[[#This Row],[sem6.forma]]&lt;&gt;"",Tabela_podst[[#This Row],[sem6.forma]],"")</f>
        <v/>
      </c>
      <c r="AB39" s="381" t="str">
        <f>IF(Tabela_podst[[#This Row],[sem7.godziny]]&lt;&gt;"",IF(Tabela_podst[[#This Row],[sem7.godziny]]&gt;14,Tabela_podst[[#This Row],[sem7.godziny]]*0.6,Tabela_podst[[#This Row],[sem7.godziny]]),"")</f>
        <v/>
      </c>
      <c r="AC39" s="381" t="str" cm="1">
        <f t="array" ref="AC39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39" s="381" t="str">
        <f>IF(Tabela_podst[[#This Row],[sem7.forma]]&lt;&gt;"",Tabela_podst[[#This Row],[sem7.forma]],"")</f>
        <v/>
      </c>
      <c r="AE39" s="383" t="str">
        <f>IF(Tabela_podst[[#This Row],[sem8.godziny]]&lt;&gt;"",IF(Tabela_podst[[#This Row],[sem8.godziny]]&gt;14,Tabela_podst[[#This Row],[sem8.godziny]]*0.6,Tabela_podst[[#This Row],[sem8.godziny]]),"")</f>
        <v/>
      </c>
      <c r="AF39" s="383" t="str" cm="1">
        <f t="array" ref="AF39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39" s="383" t="str">
        <f>IF(Tabela_podst[[#This Row],[sem8.forma]]&lt;&gt;"",Tabela_podst[[#This Row],[sem8.forma]],"")</f>
        <v/>
      </c>
      <c r="AH39" s="385" t="str">
        <f>IF(Tabela_podst[[#This Row],[sem9.godziny]]&lt;&gt;"",IF(Tabela_podst[[#This Row],[sem9.godziny]]&gt;14,Tabela_podst[[#This Row],[sem9.godziny]]*0.6,Tabela_podst[[#This Row],[sem9.godziny]]),"")</f>
        <v/>
      </c>
      <c r="AI39" s="385" t="str" cm="1">
        <f t="array" ref="AI39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39" s="385" t="str">
        <f>IF(Tabela_podst[[#This Row],[sem9.forma]]&lt;&gt;"",Tabela_podst[[#This Row],[sem9.forma]],"")</f>
        <v/>
      </c>
      <c r="AK39" s="387" t="str">
        <f>IF(Tabela_podst[[#This Row],[sem10.godziny]]&lt;&gt;"",IF(Tabela_podst[[#This Row],[sem10.godziny]]&gt;14,Tabela_podst[[#This Row],[sem10.godziny]]*0.6,Tabela_podst[[#This Row],[sem10.godziny]]),"")</f>
        <v/>
      </c>
      <c r="AL39" s="387" t="str" cm="1">
        <f t="array" ref="AL39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39" s="387" t="str">
        <f>IF(Tabela_podst[[#This Row],[sem10.forma]]&lt;&gt;"",Tabela_podst[[#This Row],[sem10.forma]],"")</f>
        <v/>
      </c>
      <c r="AN39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3</v>
      </c>
      <c r="AO39" s="389">
        <f>IF(ISERR(SEARCH("UP",Tabela_podst_nst[[#This Row],[Umiej.prakt.]],1)),0,Tabela_podst_nst[[#This Row],[ects.razem]])</f>
        <v>0</v>
      </c>
      <c r="AP39" s="390">
        <f>IF(Tabela_podst_nst[[#This Row],[czy.ects]]="TAK",ROUND((SUM(Tabela_podst_nst[[#This Row],[godziny.konsultacja]],Tabela_podst_nst[[#This Row],[godziny.egzamin]],Tabela_podst_nst[[#This Row],[godziny.zajec.razem]])/25)/0.5,0)*0.5,0)</f>
        <v>1</v>
      </c>
      <c r="AQ39" s="391">
        <f>SUM(Tabela_podst_nst[[#This Row],[godziny.samoksztalcenie]],Tabela_podst_nst[[#This Row],[godziny.konsultacja]],Tabela_podst_nst[[#This Row],[godziny.egzamin]],Tabela_podst_nst[[#This Row],[godziny.zajec.razem]])</f>
        <v>52</v>
      </c>
      <c r="AR39" s="392">
        <f>Tabela_podst[[#This Row],[godziny.samoksztalcenie]]+(Tabela_podst[[#This Row],[godziny.zajec.razem]]-Tabela_podst_nst[[#This Row],[godziny.zajec.razem]])</f>
        <v>29</v>
      </c>
      <c r="AS39" s="393">
        <f>Tabela_podst[[#This Row],[godziny.konsultacja]]</f>
        <v>3</v>
      </c>
      <c r="AT39" s="394">
        <f>Tabela_podst[[#This Row],[godziny.egzamin]]</f>
        <v>2</v>
      </c>
      <c r="AU39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18</v>
      </c>
      <c r="AV39" s="442">
        <f>IF(Tabela_podst_nst[[#This Row],[ects.bezposr.nauczyciel]],Tabela_podst_nst[[#This Row],[ects.bezposr.nauczyciel]]/Tabela_podst_nst[[#This Row],[ects.razem]],0)</f>
        <v>0.33333333333333331</v>
      </c>
      <c r="AW39" s="49"/>
    </row>
    <row r="40" spans="1:49" ht="25.5" customHeight="1" x14ac:dyDescent="0.3">
      <c r="A40" s="207"/>
      <c r="B40" s="307" t="str">
        <f>IF(Tabela_podst[[#This Row],[kod.isced]]&lt;&gt;"",Tabela_podst[[#This Row],[kod.isced]],"")</f>
        <v>0412</v>
      </c>
      <c r="C40" s="193">
        <f>IF(Tabela_podst[[#This Row],[kod.dziedziny]]&lt;&gt;"",Tabela_podst[[#This Row],[kod.dziedziny]],"")</f>
        <v>501</v>
      </c>
      <c r="D40" s="193" t="str">
        <f>IF(Tabela_podst[[#This Row],[Modul]]&lt;&gt;"",Tabela_podst[[#This Row],[Modul]],"")</f>
        <v>pd.09.1</v>
      </c>
      <c r="E40" s="193" t="str">
        <f>IF(Tabela_podst[[#This Row],[Umiej.prakt.]]&lt;&gt;"",Tabela_podst[[#This Row],[Umiej.prakt.]],"")</f>
        <v>up</v>
      </c>
      <c r="F40" s="308" t="str">
        <f>IF(Tabela_podst[[#This Row],[Nazwa przedmiotu]]&lt;&gt;"",Tabela_podst[[#This Row],[Nazwa przedmiotu]],"")</f>
        <v>Planowanie finansowe</v>
      </c>
      <c r="G40" s="309" t="str">
        <f>IF(Tabela_podst[[#This Row],[Prowadzacy]]&lt;&gt;"",Tabela_podst[[#This Row],[Prowadzacy]],"")</f>
        <v/>
      </c>
      <c r="H40" s="155" t="str">
        <f>IF(Tabela_podst[[#This Row],[Forma]]&lt;&gt;"",Tabela_podst[[#This Row],[Forma]],"")</f>
        <v>konwersatorium</v>
      </c>
      <c r="I40" s="156" t="str">
        <f>IF(Tabela_podst[[#This Row],[czy.ects]]&lt;&gt;"",Tabela_podst[[#This Row],[czy.ects]],"")</f>
        <v>TAK</v>
      </c>
      <c r="J40" s="356" t="str">
        <f>IF(Tabela_podst[[#This Row],[sem1.godziny]]&lt;&gt;"",IF(Tabela_podst[[#This Row],[sem1.godziny]]&gt;14,Tabela_podst[[#This Row],[sem1.godziny]]*0.6,Tabela_podst[[#This Row],[sem1.godziny]]),"")</f>
        <v/>
      </c>
      <c r="K40" s="356" t="str" cm="1">
        <f t="array" ref="K40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/>
      </c>
      <c r="L40" s="356" t="str">
        <f>IF(Tabela_podst[[#This Row],[sem1.forma]]&lt;&gt;"",Tabela_podst[[#This Row],[sem1.forma]],"")</f>
        <v/>
      </c>
      <c r="M40" s="357" t="str">
        <f>IF(Tabela_podst[[#This Row],[sem2.godziny]]&lt;&gt;"",IF(Tabela_podst[[#This Row],[sem2.godziny]]&gt;14,Tabela_podst[[#This Row],[sem2.godziny]]*0.6,Tabela_podst[[#This Row],[sem2.godziny]]),"")</f>
        <v/>
      </c>
      <c r="N40" s="357" t="str" cm="1">
        <f t="array" ref="N40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40" s="357" t="str">
        <f>IF(Tabela_podst[[#This Row],[sem2.forma]]&lt;&gt;"",Tabela_podst[[#This Row],[sem2.forma]],"")</f>
        <v/>
      </c>
      <c r="P40" s="358" t="str">
        <f>IF(Tabela_podst[[#This Row],[sem3.godziny]]&lt;&gt;"",IF(Tabela_podst[[#This Row],[sem3.godziny]]&gt;14,Tabela_podst[[#This Row],[sem3.godziny]]*0.6,Tabela_podst[[#This Row],[sem3.godziny]]),"")</f>
        <v/>
      </c>
      <c r="Q40" s="359" t="str" cm="1">
        <f t="array" ref="Q40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40" s="358" t="str">
        <f>IF(Tabela_podst[[#This Row],[sem3.forma]]&lt;&gt;"",Tabela_podst[[#This Row],[sem3.forma]],"")</f>
        <v/>
      </c>
      <c r="S40" s="355" t="str">
        <f>IF(Tabela_podst[[#This Row],[sem4.godziny]]&lt;&gt;"",IF(Tabela_podst[[#This Row],[sem4.godziny]]&gt;14,Tabela_podst[[#This Row],[sem4.godziny]]*0.6,Tabela_podst[[#This Row],[sem4.godziny]]),"")</f>
        <v/>
      </c>
      <c r="T40" s="355" t="str" cm="1">
        <f t="array" ref="T40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40" s="355" t="str">
        <f>IF(Tabela_podst[[#This Row],[sem4.forma]]&lt;&gt;"",Tabela_podst[[#This Row],[sem4.forma]],"")</f>
        <v/>
      </c>
      <c r="V40" s="216">
        <f>IF(Tabela_podst[[#This Row],[sem5.godziny]]&lt;&gt;"",IF(Tabela_podst[[#This Row],[sem5.godziny]]&gt;14,Tabela_podst[[#This Row],[sem5.godziny]]*0.6,Tabela_podst[[#This Row],[sem5.godziny]]),"")</f>
        <v>9</v>
      </c>
      <c r="W40" s="216" cm="1">
        <f t="array" ref="W40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>1</v>
      </c>
      <c r="X40" s="216" t="str">
        <f>IF(Tabela_podst[[#This Row],[sem5.forma]]&lt;&gt;"",Tabela_podst[[#This Row],[sem5.forma]],"")</f>
        <v>e</v>
      </c>
      <c r="Y40" s="217" t="str">
        <f>IF(Tabela_podst[[#This Row],[sem6.godziny]]&lt;&gt;"",IF(Tabela_podst[[#This Row],[sem6.godziny]]&gt;14,Tabela_podst[[#This Row],[sem6.godziny]]*0.6,Tabela_podst[[#This Row],[sem6.godziny]]),"")</f>
        <v/>
      </c>
      <c r="Z40" s="217" t="str" cm="1">
        <f t="array" ref="Z40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40" s="217" t="str">
        <f>IF(Tabela_podst[[#This Row],[sem6.forma]]&lt;&gt;"",Tabela_podst[[#This Row],[sem6.forma]],"")</f>
        <v/>
      </c>
      <c r="AB40" s="218" t="str">
        <f>IF(Tabela_podst[[#This Row],[sem7.godziny]]&lt;&gt;"",IF(Tabela_podst[[#This Row],[sem7.godziny]]&gt;14,Tabela_podst[[#This Row],[sem7.godziny]]*0.6,Tabela_podst[[#This Row],[sem7.godziny]]),"")</f>
        <v/>
      </c>
      <c r="AC40" s="218" t="str" cm="1">
        <f t="array" ref="AC40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40" s="218" t="str">
        <f>IF(Tabela_podst[[#This Row],[sem7.forma]]&lt;&gt;"",Tabela_podst[[#This Row],[sem7.forma]],"")</f>
        <v/>
      </c>
      <c r="AE40" s="219" t="str">
        <f>IF(Tabela_podst[[#This Row],[sem8.godziny]]&lt;&gt;"",IF(Tabela_podst[[#This Row],[sem8.godziny]]&gt;14,Tabela_podst[[#This Row],[sem8.godziny]]*0.6,Tabela_podst[[#This Row],[sem8.godziny]]),"")</f>
        <v/>
      </c>
      <c r="AF40" s="219" t="str" cm="1">
        <f t="array" ref="AF40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40" s="219" t="str">
        <f>IF(Tabela_podst[[#This Row],[sem8.forma]]&lt;&gt;"",Tabela_podst[[#This Row],[sem8.forma]],"")</f>
        <v/>
      </c>
      <c r="AH40" s="220" t="str">
        <f>IF(Tabela_podst[[#This Row],[sem9.godziny]]&lt;&gt;"",IF(Tabela_podst[[#This Row],[sem9.godziny]]&gt;14,Tabela_podst[[#This Row],[sem9.godziny]]*0.6,Tabela_podst[[#This Row],[sem9.godziny]]),"")</f>
        <v/>
      </c>
      <c r="AI40" s="220" t="str" cm="1">
        <f t="array" ref="AI40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40" s="220" t="str">
        <f>IF(Tabela_podst[[#This Row],[sem9.forma]]&lt;&gt;"",Tabela_podst[[#This Row],[sem9.forma]],"")</f>
        <v/>
      </c>
      <c r="AK40" s="221" t="str">
        <f>IF(Tabela_podst[[#This Row],[sem10.godziny]]&lt;&gt;"",IF(Tabela_podst[[#This Row],[sem10.godziny]]&gt;14,Tabela_podst[[#This Row],[sem10.godziny]]*0.6,Tabela_podst[[#This Row],[sem10.godziny]]),"")</f>
        <v/>
      </c>
      <c r="AL40" s="221" t="str" cm="1">
        <f t="array" ref="AL40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40" s="221" t="str">
        <f>IF(Tabela_podst[[#This Row],[sem10.forma]]&lt;&gt;"",Tabela_podst[[#This Row],[sem10.forma]],"")</f>
        <v/>
      </c>
      <c r="AN40" s="222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40" s="223">
        <f>IF(ISERR(SEARCH("UP",Tabela_podst_nst[[#This Row],[Umiej.prakt.]],1)),0,Tabela_podst_nst[[#This Row],[ects.razem]])</f>
        <v>1</v>
      </c>
      <c r="AP40" s="224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40" s="225">
        <f>SUM(Tabela_podst_nst[[#This Row],[godziny.samoksztalcenie]],Tabela_podst_nst[[#This Row],[godziny.konsultacja]],Tabela_podst_nst[[#This Row],[godziny.egzamin]],Tabela_podst_nst[[#This Row],[godziny.zajec.razem]])</f>
        <v>27</v>
      </c>
      <c r="AR40" s="226">
        <f>Tabela_podst[[#This Row],[godziny.samoksztalcenie]]+(Tabela_podst[[#This Row],[godziny.zajec.razem]]-Tabela_podst_nst[[#This Row],[godziny.zajec.razem]])</f>
        <v>15</v>
      </c>
      <c r="AS40" s="227">
        <f>Tabela_podst[[#This Row],[godziny.konsultacja]]</f>
        <v>1</v>
      </c>
      <c r="AT40" s="228">
        <f>Tabela_podst[[#This Row],[godziny.egzamin]]</f>
        <v>2</v>
      </c>
      <c r="AU40" s="229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40" s="326">
        <f>IF(Tabela_podst_nst[[#This Row],[ects.bezposr.nauczyciel]],Tabela_podst_nst[[#This Row],[ects.bezposr.nauczyciel]]/Tabela_podst_nst[[#This Row],[ects.razem]],0)</f>
        <v>0.5</v>
      </c>
      <c r="AW40" s="50"/>
    </row>
    <row r="41" spans="1:49" ht="25.5" customHeight="1" x14ac:dyDescent="0.3">
      <c r="A41" s="207"/>
      <c r="B41" s="436" t="str">
        <f>IF(Tabela_podst[[#This Row],[kod.isced]]&lt;&gt;"",Tabela_podst[[#This Row],[kod.isced]],"")</f>
        <v>0412</v>
      </c>
      <c r="C41" s="437">
        <f>IF(Tabela_podst[[#This Row],[kod.dziedziny]]&lt;&gt;"",Tabela_podst[[#This Row],[kod.dziedziny]],"")</f>
        <v>501</v>
      </c>
      <c r="D41" s="437" t="str">
        <f>IF(Tabela_podst[[#This Row],[Modul]]&lt;&gt;"",Tabela_podst[[#This Row],[Modul]],"")</f>
        <v>pd.09.2</v>
      </c>
      <c r="E41" s="437" t="str">
        <f>IF(Tabela_podst[[#This Row],[Umiej.prakt.]]&lt;&gt;"",Tabela_podst[[#This Row],[Umiej.prakt.]],"")</f>
        <v>up</v>
      </c>
      <c r="F41" s="438" t="str">
        <f>IF(Tabela_podst[[#This Row],[Nazwa przedmiotu]]&lt;&gt;"",Tabela_podst[[#This Row],[Nazwa przedmiotu]],"")</f>
        <v>Planowanie finansowe</v>
      </c>
      <c r="G41" s="439" t="str">
        <f>IF(Tabela_podst[[#This Row],[Prowadzacy]]&lt;&gt;"",Tabela_podst[[#This Row],[Prowadzacy]],"")</f>
        <v/>
      </c>
      <c r="H41" s="440" t="str">
        <f>IF(Tabela_podst[[#This Row],[Forma]]&lt;&gt;"",Tabela_podst[[#This Row],[Forma]],"")</f>
        <v>laboratoria</v>
      </c>
      <c r="I41" s="441" t="str">
        <f>IF(Tabela_podst[[#This Row],[czy.ects]]&lt;&gt;"",Tabela_podst[[#This Row],[czy.ects]],"")</f>
        <v>TAK</v>
      </c>
      <c r="J41" s="356" t="str">
        <f>IF(Tabela_podst[[#This Row],[sem1.godziny]]&lt;&gt;"",IF(Tabela_podst[[#This Row],[sem1.godziny]]&gt;14,Tabela_podst[[#This Row],[sem1.godziny]]*0.6,Tabela_podst[[#This Row],[sem1.godziny]]),"")</f>
        <v/>
      </c>
      <c r="K41" s="356" t="str" cm="1">
        <f t="array" ref="K41">IF(Tabela_podst_nst[[#This Row],[czy.ects]]="TAK",_xlfn.IFS(AND(Tabela_podst_nst[[#This Row],[sem1.godziny]]&gt;=$Q$200,Tabela_podst_nst[[#This Row],[sem1.forma]]="z"),8,AND(Tabela_podst_nst[[#This Row],[sem1.godziny]]&gt;=$I$200,Tabela_podst_nst[[#This Row],[sem1.forma]]="z"),4,AND(Tabela_podst_nst[[#This Row],[sem1.godziny]]&gt;=$H$200,Tabela_podst_nst[[#This Row],[sem1.forma]]="e"),2,AND(Tabela_podst_nst[[#This Row],[sem1.godziny]]&lt;$H$200,Tabela_podst_nst[[#This Row],[sem1.forma]]="e"),1,AND(Tabela_podst_nst[[#This Row],[sem1.godziny]]&gt;=$H$200,Tabela_podst_nst[[#This Row],[sem1.forma]]="z"),2,AND(Tabela_podst_nst[[#This Row],[sem1.godziny]]&lt;$H$200,Tabela_podst_nst[[#This Row],[sem1.forma]]="z"),1,TRUE,""),"")</f>
        <v/>
      </c>
      <c r="L41" s="356" t="str">
        <f>IF(Tabela_podst[[#This Row],[sem1.forma]]&lt;&gt;"",Tabela_podst[[#This Row],[sem1.forma]],"")</f>
        <v/>
      </c>
      <c r="M41" s="357" t="str">
        <f>IF(Tabela_podst[[#This Row],[sem2.godziny]]&lt;&gt;"",IF(Tabela_podst[[#This Row],[sem2.godziny]]&gt;14,Tabela_podst[[#This Row],[sem2.godziny]]*0.6,Tabela_podst[[#This Row],[sem2.godziny]]),"")</f>
        <v/>
      </c>
      <c r="N41" s="357" t="str" cm="1">
        <f t="array" ref="N41">IF(Tabela_podst_nst[[#This Row],[czy.ects]]="TAK",_xlfn.IFS(AND(Tabela_podst_nst[[#This Row],[sem2.godziny]]&gt;=$Q$200,Tabela_podst_nst[[#This Row],[sem2.forma]]="z"),8,AND(Tabela_podst_nst[[#This Row],[sem2.godziny]]&gt;=$I$200,Tabela_podst_nst[[#This Row],[sem2.forma]]="z"),4,AND(Tabela_podst_nst[[#This Row],[sem2.godziny]]&gt;=$H$200,Tabela_podst_nst[[#This Row],[sem2.forma]]="e"),2,AND(Tabela_podst_nst[[#This Row],[sem2.godziny]]&lt;$H$200,Tabela_podst_nst[[#This Row],[sem2.forma]]="e"),1,AND(Tabela_podst_nst[[#This Row],[sem2.godziny]]&gt;=$H$200,Tabela_podst_nst[[#This Row],[sem2.forma]]="z"),2,AND(Tabela_podst_nst[[#This Row],[sem2.godziny]]&lt;$H$200,Tabela_podst_nst[[#This Row],[sem2.forma]]="z"),1,TRUE,""),"")</f>
        <v/>
      </c>
      <c r="O41" s="357" t="str">
        <f>IF(Tabela_podst[[#This Row],[sem2.forma]]&lt;&gt;"",Tabela_podst[[#This Row],[sem2.forma]],"")</f>
        <v/>
      </c>
      <c r="P41" s="358" t="str">
        <f>IF(Tabela_podst[[#This Row],[sem3.godziny]]&lt;&gt;"",IF(Tabela_podst[[#This Row],[sem3.godziny]]&gt;14,Tabela_podst[[#This Row],[sem3.godziny]]*0.6,Tabela_podst[[#This Row],[sem3.godziny]]),"")</f>
        <v/>
      </c>
      <c r="Q41" s="359" t="str" cm="1">
        <f t="array" ref="Q41">IF(Tabela_podst_nst[[#This Row],[czy.ects]]="TAK",_xlfn.IFS(AND(Tabela_podst_nst[[#This Row],[sem3.godziny]]&gt;=$Q$200,Tabela_podst_nst[[#This Row],[sem3.forma]]="z"),8,AND(Tabela_podst_nst[[#This Row],[sem3.godziny]]&gt;=$I$200,Tabela_podst_nst[[#This Row],[sem3.forma]]="z"),4,AND(Tabela_podst_nst[[#This Row],[sem3.godziny]]&gt;=$H$200,Tabela_podst_nst[[#This Row],[sem3.forma]]="e"),2,AND(Tabela_podst_nst[[#This Row],[sem3.godziny]]&lt;$H$200,Tabela_podst_nst[[#This Row],[sem3.forma]]="e"),1,AND(Tabela_podst_nst[[#This Row],[sem3.godziny]]&gt;=$H$200,Tabela_podst_nst[[#This Row],[sem3.forma]]="z"),2,AND(Tabela_podst_nst[[#This Row],[sem3.godziny]]&lt;$H$200,Tabela_podst_nst[[#This Row],[sem3.forma]]="z"),1,TRUE,""),"")</f>
        <v/>
      </c>
      <c r="R41" s="358" t="str">
        <f>IF(Tabela_podst[[#This Row],[sem3.forma]]&lt;&gt;"",Tabela_podst[[#This Row],[sem3.forma]],"")</f>
        <v/>
      </c>
      <c r="S41" s="355" t="str">
        <f>IF(Tabela_podst[[#This Row],[sem4.godziny]]&lt;&gt;"",IF(Tabela_podst[[#This Row],[sem4.godziny]]&gt;14,Tabela_podst[[#This Row],[sem4.godziny]]*0.6,Tabela_podst[[#This Row],[sem4.godziny]]),"")</f>
        <v/>
      </c>
      <c r="T41" s="355" t="str" cm="1">
        <f t="array" ref="T41">IF(Tabela_podst_nst[[#This Row],[czy.ects]]="TAK",_xlfn.IFS(AND(Tabela_podst_nst[[#This Row],[sem4.godziny]]&gt;=$Q$200,Tabela_podst_nst[[#This Row],[sem4.forma]]="z"),8,AND(Tabela_podst_nst[[#This Row],[sem4.godziny]]&gt;=$I$200,Tabela_podst_nst[[#This Row],[sem4.forma]]="z"),4,AND(Tabela_podst_nst[[#This Row],[sem4.godziny]]&gt;=$H$200,Tabela_podst_nst[[#This Row],[sem4.forma]]="e"),2,AND(Tabela_podst_nst[[#This Row],[sem4.godziny]]&lt;$H$200,Tabela_podst_nst[[#This Row],[sem4.forma]]="e"),1,AND(Tabela_podst_nst[[#This Row],[sem4.godziny]]&gt;=$H$200,Tabela_podst_nst[[#This Row],[sem4.forma]]="z"),2,AND(Tabela_podst_nst[[#This Row],[sem4.godziny]]&lt;$H$200,Tabela_podst_nst[[#This Row],[sem4.forma]]="z"),1,TRUE,""),"")</f>
        <v/>
      </c>
      <c r="U41" s="355" t="str">
        <f>IF(Tabela_podst[[#This Row],[sem4.forma]]&lt;&gt;"",Tabela_podst[[#This Row],[sem4.forma]],"")</f>
        <v/>
      </c>
      <c r="V41" s="216">
        <f>IF(Tabela_podst[[#This Row],[sem5.godziny]]&lt;&gt;"",IF(Tabela_podst[[#This Row],[sem5.godziny]]&gt;14,Tabela_podst[[#This Row],[sem5.godziny]]*0.6,Tabela_podst[[#This Row],[sem5.godziny]]),"")</f>
        <v>9</v>
      </c>
      <c r="W41" s="216" cm="1">
        <f t="array" ref="W41">IF(Tabela_podst_nst[[#This Row],[czy.ects]]="TAK",_xlfn.IFS(AND(Tabela_podst_nst[[#This Row],[sem5.godziny]]&gt;=$Q$200,Tabela_podst_nst[[#This Row],[sem5.forma]]="z"),8,AND(Tabela_podst_nst[[#This Row],[sem5.godziny]]&gt;=$I$200,Tabela_podst_nst[[#This Row],[sem5.forma]]="z"),4,AND(Tabela_podst_nst[[#This Row],[sem5.godziny]]&gt;=$H$200,Tabela_podst_nst[[#This Row],[sem5.forma]]="e"),2,AND(Tabela_podst_nst[[#This Row],[sem5.godziny]]&lt;$H$200,Tabela_podst_nst[[#This Row],[sem5.forma]]="e"),1,AND(Tabela_podst_nst[[#This Row],[sem5.godziny]]&gt;=$H$200,Tabela_podst_nst[[#This Row],[sem5.forma]]="z"),2,AND(Tabela_podst_nst[[#This Row],[sem5.godziny]]&lt;$H$200,Tabela_podst_nst[[#This Row],[sem5.forma]]="z"),1,TRUE,""),"")</f>
        <v>1</v>
      </c>
      <c r="X41" s="216" t="str">
        <f>IF(Tabela_podst[[#This Row],[sem5.forma]]&lt;&gt;"",Tabela_podst[[#This Row],[sem5.forma]],"")</f>
        <v>z</v>
      </c>
      <c r="Y41" s="217" t="str">
        <f>IF(Tabela_podst[[#This Row],[sem6.godziny]]&lt;&gt;"",IF(Tabela_podst[[#This Row],[sem6.godziny]]&gt;14,Tabela_podst[[#This Row],[sem6.godziny]]*0.6,Tabela_podst[[#This Row],[sem6.godziny]]),"")</f>
        <v/>
      </c>
      <c r="Z41" s="217" t="str" cm="1">
        <f t="array" ref="Z41">IF(Tabela_podst_nst[[#This Row],[czy.ects]]="TAK",_xlfn.IFS(AND(Tabela_podst_nst[[#This Row],[sem6.godziny]]&gt;=$Q$200,Tabela_podst_nst[[#This Row],[sem6.forma]]="z"),8,AND(Tabela_podst_nst[[#This Row],[sem6.godziny]]&gt;=$I$200,Tabela_podst_nst[[#This Row],[sem6.forma]]="z"),4,AND(Tabela_podst_nst[[#This Row],[sem6.godziny]]&gt;=$H$200,Tabela_podst_nst[[#This Row],[sem6.forma]]="e"),2,AND(Tabela_podst_nst[[#This Row],[sem6.godziny]]&lt;$H$200,Tabela_podst_nst[[#This Row],[sem6.forma]]="e"),1,AND(Tabela_podst_nst[[#This Row],[sem6.godziny]]&gt;=$H$200,Tabela_podst_nst[[#This Row],[sem6.forma]]="z"),2,AND(Tabela_podst_nst[[#This Row],[sem6.godziny]]&lt;$H$200,Tabela_podst_nst[[#This Row],[sem6.forma]]="z"),1,TRUE,""),"")</f>
        <v/>
      </c>
      <c r="AA41" s="217" t="str">
        <f>IF(Tabela_podst[[#This Row],[sem6.forma]]&lt;&gt;"",Tabela_podst[[#This Row],[sem6.forma]],"")</f>
        <v/>
      </c>
      <c r="AB41" s="218" t="str">
        <f>IF(Tabela_podst[[#This Row],[sem7.godziny]]&lt;&gt;"",IF(Tabela_podst[[#This Row],[sem7.godziny]]&gt;14,Tabela_podst[[#This Row],[sem7.godziny]]*0.6,Tabela_podst[[#This Row],[sem7.godziny]]),"")</f>
        <v/>
      </c>
      <c r="AC41" s="218" t="str" cm="1">
        <f t="array" ref="AC41">IF(Tabela_podst_nst[[#This Row],[czy.ects]]="TAK",_xlfn.IFS(AND(Tabela_podst_nst[[#This Row],[sem7.godziny]]&gt;=$Q$200,Tabela_podst_nst[[#This Row],[sem7.forma]]="z"),8,AND(Tabela_podst_nst[[#This Row],[sem7.godziny]]&gt;=$I$200,Tabela_podst_nst[[#This Row],[sem7.forma]]="z"),4,AND(Tabela_podst_nst[[#This Row],[sem7.godziny]]&gt;=$H$200,Tabela_podst_nst[[#This Row],[sem7.forma]]="e"),2,AND(Tabela_podst_nst[[#This Row],[sem7.godziny]]&lt;$H$200,Tabela_podst_nst[[#This Row],[sem7.forma]]="e"),1,AND(Tabela_podst_nst[[#This Row],[sem7.godziny]]&gt;=$H$200,Tabela_podst_nst[[#This Row],[sem7.forma]]="z"),2,AND(Tabela_podst_nst[[#This Row],[sem7.godziny]]&lt;$H$200,Tabela_podst_nst[[#This Row],[sem7.forma]]="z"),1,TRUE,""),"")</f>
        <v/>
      </c>
      <c r="AD41" s="218" t="str">
        <f>IF(Tabela_podst[[#This Row],[sem7.forma]]&lt;&gt;"",Tabela_podst[[#This Row],[sem7.forma]],"")</f>
        <v/>
      </c>
      <c r="AE41" s="219" t="str">
        <f>IF(Tabela_podst[[#This Row],[sem8.godziny]]&lt;&gt;"",IF(Tabela_podst[[#This Row],[sem8.godziny]]&gt;14,Tabela_podst[[#This Row],[sem8.godziny]]*0.6,Tabela_podst[[#This Row],[sem8.godziny]]),"")</f>
        <v/>
      </c>
      <c r="AF41" s="219" t="str" cm="1">
        <f t="array" ref="AF41">IF(Tabela_podst_nst[[#This Row],[czy.ects]]="TAK",_xlfn.IFS(AND(Tabela_podst_nst[[#This Row],[sem8.godziny]]&gt;=$Q$200,Tabela_podst_nst[[#This Row],[sem8.forma]]="z"),8,AND(Tabela_podst_nst[[#This Row],[sem8.godziny]]&gt;=$I$200,Tabela_podst_nst[[#This Row],[sem8.forma]]="z"),4,AND(Tabela_podst_nst[[#This Row],[sem8.godziny]]&gt;=$H$200,Tabela_podst_nst[[#This Row],[sem8.forma]]="e"),2,AND(Tabela_podst_nst[[#This Row],[sem8.godziny]]&lt;$H$200,Tabela_podst_nst[[#This Row],[sem8.forma]]="e"),1,AND(Tabela_podst_nst[[#This Row],[sem8.godziny]]&gt;=$H$200,Tabela_podst_nst[[#This Row],[sem8.forma]]="z"),2,AND(Tabela_podst_nst[[#This Row],[sem8.godziny]]&lt;$H$200,Tabela_podst_nst[[#This Row],[sem8.forma]]="z"),1,TRUE,""),"")</f>
        <v/>
      </c>
      <c r="AG41" s="219" t="str">
        <f>IF(Tabela_podst[[#This Row],[sem8.forma]]&lt;&gt;"",Tabela_podst[[#This Row],[sem8.forma]],"")</f>
        <v/>
      </c>
      <c r="AH41" s="220" t="str">
        <f>IF(Tabela_podst[[#This Row],[sem9.godziny]]&lt;&gt;"",IF(Tabela_podst[[#This Row],[sem9.godziny]]&gt;14,Tabela_podst[[#This Row],[sem9.godziny]]*0.6,Tabela_podst[[#This Row],[sem9.godziny]]),"")</f>
        <v/>
      </c>
      <c r="AI41" s="220" t="str" cm="1">
        <f t="array" ref="AI41">IF(Tabela_podst_nst[[#This Row],[czy.ects]]="TAK",_xlfn.IFS(AND(Tabela_podst_nst[[#This Row],[sem9.godziny]]&gt;=$Q$200,Tabela_podst_nst[[#This Row],[sem9.forma]]="z"),8,AND(Tabela_podst_nst[[#This Row],[sem9.godziny]]&gt;=$I$200,Tabela_podst_nst[[#This Row],[sem9.forma]]="z"),4,AND(Tabela_podst_nst[[#This Row],[sem9.godziny]]&gt;=$H$200,Tabela_podst_nst[[#This Row],[sem9.forma]]="e"),2,AND(Tabela_podst_nst[[#This Row],[sem9.godziny]]&lt;$H$200,Tabela_podst_nst[[#This Row],[sem9.forma]]="e"),1,AND(Tabela_podst_nst[[#This Row],[sem9.godziny]]&gt;=$H$200,Tabela_podst_nst[[#This Row],[sem9.forma]]="z"),2,AND(Tabela_podst_nst[[#This Row],[sem9.godziny]]&lt;$H$200,Tabela_podst_nst[[#This Row],[sem9.forma]]="z"),1,TRUE,""),"")</f>
        <v/>
      </c>
      <c r="AJ41" s="220" t="str">
        <f>IF(Tabela_podst[[#This Row],[sem9.forma]]&lt;&gt;"",Tabela_podst[[#This Row],[sem9.forma]],"")</f>
        <v/>
      </c>
      <c r="AK41" s="221" t="str">
        <f>IF(Tabela_podst[[#This Row],[sem10.godziny]]&lt;&gt;"",IF(Tabela_podst[[#This Row],[sem10.godziny]]&gt;14,Tabela_podst[[#This Row],[sem10.godziny]]*0.6,Tabela_podst[[#This Row],[sem10.godziny]]),"")</f>
        <v/>
      </c>
      <c r="AL41" s="221" t="str" cm="1">
        <f t="array" ref="AL41">IF(Tabela_podst_nst[[#This Row],[czy.ects]]="TAK",_xlfn.IFS(AND(Tabela_podst_nst[[#This Row],[sem10.godziny]]&gt;=$Q$200,Tabela_podst_nst[[#This Row],[sem10.forma]]="z"),8,AND(Tabela_podst_nst[[#This Row],[sem10.godziny]]&gt;=$I$200,Tabela_podst_nst[[#This Row],[sem10.forma]]="z"),4,AND(Tabela_podst_nst[[#This Row],[sem10.godziny]]&gt;=$H$200,Tabela_podst_nst[[#This Row],[sem10.forma]]="e"),2,AND(Tabela_podst_nst[[#This Row],[sem10.godziny]]&lt;$H$200,Tabela_podst_nst[[#This Row],[sem10.forma]]="e"),1,AND(Tabela_podst_nst[[#This Row],[sem10.godziny]]&gt;=$H$200,Tabela_podst_nst[[#This Row],[sem10.forma]]="z"),2,AND(Tabela_podst_nst[[#This Row],[sem10.godziny]]&lt;$H$200,Tabela_podst_nst[[#This Row],[sem10.forma]]="z"),1,TRUE,""),"")</f>
        <v/>
      </c>
      <c r="AM41" s="221" t="str">
        <f>IF(Tabela_podst[[#This Row],[sem10.forma]]&lt;&gt;"",Tabela_podst[[#This Row],[sem10.forma]],"")</f>
        <v/>
      </c>
      <c r="AN41" s="388">
        <f>SUM(Tabela_podst_nst[[#This Row],[sem1.ects]],Tabela_podst_nst[[#This Row],[sem2.ects]],Tabela_podst_nst[[#This Row],[sem3.ects]],Tabela_podst_nst[[#This Row],[sem4.ects]],Tabela_podst_nst[[#This Row],[sem5.ects]],Tabela_podst_nst[[#This Row],[sem6.ects]],Tabela_podst_nst[[#This Row],[sem7.ects]],Tabela_podst_nst[[#This Row],[sem8.ects]],Tabela_podst_nst[[#This Row],[sem9.ects]],Tabela_podst_nst[[#This Row],[sem10.ects]])</f>
        <v>1</v>
      </c>
      <c r="AO41" s="389">
        <f>IF(ISERR(SEARCH("UP",Tabela_podst_nst[[#This Row],[Umiej.prakt.]],1)),0,Tabela_podst_nst[[#This Row],[ects.razem]])</f>
        <v>1</v>
      </c>
      <c r="AP41" s="390">
        <f>IF(Tabela_podst_nst[[#This Row],[czy.ects]]="TAK",ROUND((SUM(Tabela_podst_nst[[#This Row],[godziny.konsultacja]],Tabela_podst_nst[[#This Row],[godziny.egzamin]],Tabela_podst_nst[[#This Row],[godziny.zajec.razem]])/25)/0.5,0)*0.5,0)</f>
        <v>0.5</v>
      </c>
      <c r="AQ41" s="391">
        <f>SUM(Tabela_podst_nst[[#This Row],[godziny.samoksztalcenie]],Tabela_podst_nst[[#This Row],[godziny.konsultacja]],Tabela_podst_nst[[#This Row],[godziny.egzamin]],Tabela_podst_nst[[#This Row],[godziny.zajec.razem]])</f>
        <v>27</v>
      </c>
      <c r="AR41" s="392">
        <f>Tabela_podst[[#This Row],[godziny.samoksztalcenie]]+(Tabela_podst[[#This Row],[godziny.zajec.razem]]-Tabela_podst_nst[[#This Row],[godziny.zajec.razem]])</f>
        <v>15</v>
      </c>
      <c r="AS41" s="393">
        <f>Tabela_podst[[#This Row],[godziny.konsultacja]]</f>
        <v>1</v>
      </c>
      <c r="AT41" s="394">
        <f>Tabela_podst[[#This Row],[godziny.egzamin]]</f>
        <v>2</v>
      </c>
      <c r="AU41" s="395">
        <f>SUM(Tabela_podst_nst[[#This Row],[sem1.godziny]],Tabela_podst_nst[[#This Row],[sem2.godziny]],Tabela_podst_nst[[#This Row],[sem3.godziny]],Tabela_podst_nst[[#This Row],[sem4.godziny]],Tabela_podst_nst[[#This Row],[sem5.godziny]],Tabela_podst_nst[[#This Row],[sem6.godziny]],Tabela_podst_nst[[#This Row],[sem7.godziny]],Tabela_podst_nst[[#This Row],[sem8.godziny]],Tabela_podst_nst[[#This Row],[sem9.godziny]],Tabela_podst_nst[[#This Row],[sem10.godziny]])</f>
        <v>9</v>
      </c>
      <c r="AV41" s="442">
        <f>IF(Tabela_podst_nst[[#This Row],[ects.bezposr.nauczyciel]],Tabela_podst_nst[[#This Row],[ects.bezposr.nauczyciel]]/Tabela_podst_nst[[#This Row],[ects.razem]],0)</f>
        <v>0.5</v>
      </c>
      <c r="AW41" s="50"/>
    </row>
    <row r="42" spans="1:49" ht="7.5" customHeight="1" thickBot="1" x14ac:dyDescent="0.35">
      <c r="A42" s="207"/>
      <c r="B42" s="230"/>
      <c r="C42" s="231"/>
      <c r="D42" s="44"/>
      <c r="E42" s="44"/>
      <c r="F42" s="232"/>
      <c r="G42" s="233"/>
      <c r="H42" s="45"/>
      <c r="I42" s="51"/>
      <c r="J42" s="52"/>
      <c r="K42" s="52"/>
      <c r="L42" s="234"/>
      <c r="M42" s="53"/>
      <c r="N42" s="53"/>
      <c r="O42" s="53"/>
      <c r="P42" s="235"/>
      <c r="Q42" s="54"/>
      <c r="R42" s="235"/>
      <c r="S42" s="55"/>
      <c r="T42" s="55"/>
      <c r="U42" s="55"/>
      <c r="V42" s="236"/>
      <c r="W42" s="236"/>
      <c r="X42" s="236"/>
      <c r="Y42" s="237"/>
      <c r="Z42" s="237"/>
      <c r="AA42" s="237"/>
      <c r="AB42" s="238"/>
      <c r="AC42" s="238"/>
      <c r="AD42" s="238"/>
      <c r="AE42" s="239"/>
      <c r="AF42" s="240"/>
      <c r="AG42" s="241"/>
      <c r="AH42" s="242"/>
      <c r="AI42" s="243"/>
      <c r="AJ42" s="244"/>
      <c r="AK42" s="234"/>
      <c r="AL42" s="245"/>
      <c r="AM42" s="246"/>
      <c r="AN42" s="49"/>
      <c r="AO42" s="207"/>
      <c r="AP42" s="207"/>
      <c r="AQ42" s="207"/>
      <c r="AR42" s="207"/>
      <c r="AS42" s="207"/>
      <c r="AT42" s="207"/>
      <c r="AU42" s="207"/>
      <c r="AV42" s="207"/>
      <c r="AW42" s="207"/>
    </row>
    <row r="43" spans="1:49" ht="17.25" customHeight="1" thickBot="1" x14ac:dyDescent="0.35">
      <c r="A43" s="207"/>
      <c r="B43" s="784" t="str">
        <f>'PLAN ST'!B43</f>
        <v>PRZEDMIOTY KIERUNKOWE</v>
      </c>
      <c r="C43" s="785"/>
      <c r="D43" s="785"/>
      <c r="E43" s="785"/>
      <c r="F43" s="785"/>
      <c r="G43" s="785"/>
      <c r="H43" s="789"/>
      <c r="I43" s="789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7"/>
      <c r="AW43" s="49"/>
    </row>
    <row r="44" spans="1:49" ht="25.5" customHeight="1" thickBot="1" x14ac:dyDescent="0.35">
      <c r="A44" s="207"/>
      <c r="B44" s="784" t="str">
        <f>'PLAN ST'!B44</f>
        <v>RAZEM W GRUPIE PRZEDMIOTÓW KIERUNKOWYCH</v>
      </c>
      <c r="C44" s="788"/>
      <c r="D44" s="788"/>
      <c r="E44" s="788"/>
      <c r="F44" s="788"/>
      <c r="G44" s="788"/>
      <c r="H44" s="788"/>
      <c r="I44" s="788"/>
      <c r="J44" s="247">
        <f>SUM(Tabela_kier_nst[sem1.godziny])</f>
        <v>45</v>
      </c>
      <c r="K44" s="247">
        <f>SUM(Tabela_kier_nst[sem1.ects])</f>
        <v>7</v>
      </c>
      <c r="L44" s="247"/>
      <c r="M44" s="247">
        <f>SUM(Tabela_kier_nst[sem2.godziny])</f>
        <v>296</v>
      </c>
      <c r="N44" s="247">
        <f>SUM(Tabela_kier_nst[sem2.ects])</f>
        <v>21</v>
      </c>
      <c r="O44" s="247"/>
      <c r="P44" s="247">
        <f>SUM(Tabela_kier_nst[sem3.godziny])</f>
        <v>323</v>
      </c>
      <c r="Q44" s="247">
        <f>SUM(Tabela_kier_nst[sem3.ects])</f>
        <v>26</v>
      </c>
      <c r="R44" s="247"/>
      <c r="S44" s="247">
        <f>SUM(Tabela_kier_nst[sem4.godziny])</f>
        <v>81</v>
      </c>
      <c r="T44" s="247">
        <f>SUM(Tabela_kier_nst[sem4.ects])</f>
        <v>12</v>
      </c>
      <c r="U44" s="247"/>
      <c r="V44" s="247">
        <f>SUM(Tabela_kier_nst[sem5.godziny])</f>
        <v>54</v>
      </c>
      <c r="W44" s="247">
        <f>SUM(Tabela_kier_nst[sem5.ects])</f>
        <v>8</v>
      </c>
      <c r="X44" s="247"/>
      <c r="Y44" s="247">
        <f>SUM(Tabela_kier_nst[sem6.godziny])</f>
        <v>72</v>
      </c>
      <c r="Z44" s="247">
        <f>SUM(Tabela_kier_nst[sem6.ects])</f>
        <v>11</v>
      </c>
      <c r="AA44" s="247"/>
      <c r="AB44" s="247">
        <f>SUM(Tabela_kier_nst[sem7.godziny])</f>
        <v>0</v>
      </c>
      <c r="AC44" s="247">
        <f>SUM(Tabela_kier_nst[sem7.ects])</f>
        <v>0</v>
      </c>
      <c r="AD44" s="247"/>
      <c r="AE44" s="247">
        <f>SUM(Tabela_kier_nst[sem5.godziny])</f>
        <v>54</v>
      </c>
      <c r="AF44" s="247">
        <f>SUM(Tabela_kier_nst[sem5.ects])</f>
        <v>8</v>
      </c>
      <c r="AG44" s="247"/>
      <c r="AH44" s="247">
        <f>SUM(Tabela_kier_nst[sem6.godziny])</f>
        <v>72</v>
      </c>
      <c r="AI44" s="247">
        <f>SUM(Tabela_kier_nst[sem6.ects])</f>
        <v>11</v>
      </c>
      <c r="AJ44" s="247"/>
      <c r="AK44" s="247">
        <f>SUM(Tabela_kier_nst[sem7.godziny])</f>
        <v>0</v>
      </c>
      <c r="AL44" s="247">
        <f>SUM(Tabela_kier_nst[sem7.ects])</f>
        <v>0</v>
      </c>
      <c r="AM44" s="247"/>
      <c r="AN44" s="247">
        <f>SUM(Tabela_kier_nst[ects.razem])</f>
        <v>85</v>
      </c>
      <c r="AO44" s="247">
        <f>SUM(Tabela_kier_nst[ects.umiej.prakt.])</f>
        <v>59</v>
      </c>
      <c r="AP44" s="247">
        <f>SUM(Tabela_kier_nst[ects.bezposr.nauczyciel])</f>
        <v>42.5</v>
      </c>
      <c r="AQ44" s="247">
        <f>SUM(Tabela_kier_nst[godziny.razem.student])</f>
        <v>2001</v>
      </c>
      <c r="AR44" s="247">
        <f>SUM(Tabela_kier_nst[godziny.samoksztalcenie])</f>
        <v>954</v>
      </c>
      <c r="AS44" s="247">
        <f>SUM(Tabela_kier_nst[godziny.konsultacja])</f>
        <v>112</v>
      </c>
      <c r="AT44" s="247">
        <f>SUM(Tabela_kier_nst[godziny.egzamin])</f>
        <v>64</v>
      </c>
      <c r="AU44" s="247">
        <f>SUM(Tabela_kier_nst[godziny.zajec.razem])</f>
        <v>871</v>
      </c>
      <c r="AV44" s="6"/>
      <c r="AW44" s="49"/>
    </row>
    <row r="45" spans="1:49" ht="25.5" hidden="1" customHeight="1" x14ac:dyDescent="0.3">
      <c r="A45" s="207"/>
      <c r="B45" s="152" t="s">
        <v>374</v>
      </c>
      <c r="C45" s="328" t="s">
        <v>373</v>
      </c>
      <c r="D45" s="196" t="s">
        <v>372</v>
      </c>
      <c r="E45" s="196" t="s">
        <v>371</v>
      </c>
      <c r="F45" s="329" t="s">
        <v>368</v>
      </c>
      <c r="G45" s="330" t="s">
        <v>369</v>
      </c>
      <c r="H45" s="153" t="s">
        <v>370</v>
      </c>
      <c r="I45" s="154" t="s">
        <v>375</v>
      </c>
      <c r="J45" s="259" t="s">
        <v>376</v>
      </c>
      <c r="K45" s="259" t="s">
        <v>377</v>
      </c>
      <c r="L45" s="271" t="s">
        <v>378</v>
      </c>
      <c r="M45" s="260" t="s">
        <v>379</v>
      </c>
      <c r="N45" s="260" t="s">
        <v>380</v>
      </c>
      <c r="O45" s="260" t="s">
        <v>381</v>
      </c>
      <c r="P45" s="320" t="s">
        <v>382</v>
      </c>
      <c r="Q45" s="261" t="s">
        <v>383</v>
      </c>
      <c r="R45" s="320" t="s">
        <v>384</v>
      </c>
      <c r="S45" s="262" t="s">
        <v>385</v>
      </c>
      <c r="T45" s="262" t="s">
        <v>386</v>
      </c>
      <c r="U45" s="262" t="s">
        <v>387</v>
      </c>
      <c r="V45" s="263" t="s">
        <v>388</v>
      </c>
      <c r="W45" s="263" t="s">
        <v>389</v>
      </c>
      <c r="X45" s="263" t="s">
        <v>390</v>
      </c>
      <c r="Y45" s="264" t="s">
        <v>391</v>
      </c>
      <c r="Z45" s="264" t="s">
        <v>392</v>
      </c>
      <c r="AA45" s="264" t="s">
        <v>393</v>
      </c>
      <c r="AB45" s="265" t="s">
        <v>394</v>
      </c>
      <c r="AC45" s="265" t="s">
        <v>395</v>
      </c>
      <c r="AD45" s="265" t="s">
        <v>396</v>
      </c>
      <c r="AE45" s="321" t="s">
        <v>409</v>
      </c>
      <c r="AF45" s="321" t="s">
        <v>410</v>
      </c>
      <c r="AG45" s="321" t="s">
        <v>411</v>
      </c>
      <c r="AH45" s="322" t="s">
        <v>412</v>
      </c>
      <c r="AI45" s="322" t="s">
        <v>413</v>
      </c>
      <c r="AJ45" s="322" t="s">
        <v>414</v>
      </c>
      <c r="AK45" s="323" t="s">
        <v>415</v>
      </c>
      <c r="AL45" s="323" t="s">
        <v>416</v>
      </c>
      <c r="AM45" s="323" t="s">
        <v>417</v>
      </c>
      <c r="AN45" s="324" t="s">
        <v>397</v>
      </c>
      <c r="AO45" s="266" t="s">
        <v>398</v>
      </c>
      <c r="AP45" s="267" t="s">
        <v>399</v>
      </c>
      <c r="AQ45" s="268" t="s">
        <v>400</v>
      </c>
      <c r="AR45" s="269" t="s">
        <v>401</v>
      </c>
      <c r="AS45" s="270" t="s">
        <v>402</v>
      </c>
      <c r="AT45" s="271" t="s">
        <v>403</v>
      </c>
      <c r="AU45" s="325" t="s">
        <v>404</v>
      </c>
      <c r="AV45" s="272" t="s">
        <v>405</v>
      </c>
      <c r="AW45" s="49"/>
    </row>
    <row r="46" spans="1:49" ht="25.5" customHeight="1" x14ac:dyDescent="0.3">
      <c r="A46" s="207"/>
      <c r="B46" s="331" t="str">
        <f>IF(Tabela_kier[[#This Row],[kod.isced]]&lt;&gt;"",Tabela_kier[[#This Row],[kod.isced]],"")</f>
        <v>0412</v>
      </c>
      <c r="C46" s="193" t="str">
        <f>IF(Tabela_kier[[#This Row],[kod.dziedziny]]&lt;&gt;"",Tabela_kier[[#This Row],[kod.dziedziny]],"")</f>
        <v>501</v>
      </c>
      <c r="D46" s="193" t="str">
        <f>IF(Tabela_kier[[#This Row],[Modul]]&lt;&gt;"",Tabela_kier[[#This Row],[Modul]],"")</f>
        <v>kr.01.1</v>
      </c>
      <c r="E46" s="193" t="str">
        <f>IF(Tabela_kier[[#This Row],[Umiej.prakt.]]&lt;&gt;"",Tabela_kier[[#This Row],[Umiej.prakt.]],"")</f>
        <v/>
      </c>
      <c r="F46" s="308" t="str">
        <f>IF(Tabela_kier[[#This Row],[Nazwa przedmiotu]]&lt;&gt;"",Tabela_kier[[#This Row],[Nazwa przedmiotu]],"")</f>
        <v>Podstawy finansów</v>
      </c>
      <c r="G46" s="309" t="str">
        <f>IF(Tabela_kier[[#This Row],[Prowadzacy]]&lt;&gt;"",Tabela_kier[[#This Row],[Prowadzacy]],"")</f>
        <v/>
      </c>
      <c r="H46" s="155" t="str">
        <f>IF(Tabela_kier[[#This Row],[Forma]]&lt;&gt;"",Tabela_kier[[#This Row],[Forma]],"")</f>
        <v>wykład</v>
      </c>
      <c r="I46" s="156" t="str">
        <f>IF(Tabela_kier[[#This Row],[czy.ects]]&lt;&gt;"",Tabela_kier[[#This Row],[czy.ects]],"")</f>
        <v>TAK</v>
      </c>
      <c r="J46" s="356">
        <f>IF(Tabela_kier[[#This Row],[sem1.godziny]]&lt;&gt;"",IF(Tabela_kier[[#This Row],[sem1.godziny]]&gt;14,Tabela_kier[[#This Row],[sem1.godziny]]*0.6,Tabela_kier[[#This Row],[sem1.godziny]]),"")</f>
        <v>9</v>
      </c>
      <c r="K46" s="356" cm="1">
        <f t="array" ref="K46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>1</v>
      </c>
      <c r="L46" s="356" t="str">
        <f>IF(Tabela_kier[[#This Row],[sem1.forma]]&lt;&gt;"",Tabela_kier[[#This Row],[sem1.forma]],"")</f>
        <v>e</v>
      </c>
      <c r="M46" s="357" t="str">
        <f>IF(Tabela_kier[[#This Row],[sem2.godziny]]&lt;&gt;"",IF(Tabela_kier[[#This Row],[sem2.godziny]]&gt;14,Tabela_kier[[#This Row],[sem2.godziny]]*0.6,Tabela_kier[[#This Row],[sem2.godziny]]),"")</f>
        <v/>
      </c>
      <c r="N46" s="357" t="str" cm="1">
        <f t="array" ref="N46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46" s="357" t="str">
        <f>IF(Tabela_kier[[#This Row],[sem2.forma]]&lt;&gt;"",Tabela_kier[[#This Row],[sem2.forma]],"")</f>
        <v/>
      </c>
      <c r="P46" s="358" t="str">
        <f>IF(Tabela_kier[[#This Row],[sem3.godziny]]&lt;&gt;"",IF(Tabela_kier[[#This Row],[sem3.godziny]]&gt;14,Tabela_kier[[#This Row],[sem3.godziny]]*0.6,Tabela_kier[[#This Row],[sem3.godziny]]),"")</f>
        <v/>
      </c>
      <c r="Q46" s="359" t="str" cm="1">
        <f t="array" ref="Q46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46" s="358" t="str">
        <f>IF(Tabela_kier[[#This Row],[sem3.forma]]&lt;&gt;"",Tabela_kier[[#This Row],[sem3.forma]],"")</f>
        <v/>
      </c>
      <c r="S46" s="355" t="str">
        <f>IF(Tabela_kier[[#This Row],[sem4.godziny]]&lt;&gt;"",IF(Tabela_kier[[#This Row],[sem4.godziny]]&gt;14,Tabela_kier[[#This Row],[sem4.godziny]]*0.6,Tabela_kier[[#This Row],[sem4.godziny]]),"")</f>
        <v/>
      </c>
      <c r="T46" s="355" t="str" cm="1">
        <f t="array" ref="T46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46" s="355" t="str">
        <f>IF(Tabela_kier[[#This Row],[sem4.forma]]&lt;&gt;"",Tabela_kier[[#This Row],[sem4.forma]],"")</f>
        <v/>
      </c>
      <c r="V46" s="216" t="str">
        <f>IF(Tabela_kier[[#This Row],[sem5.godziny]]&lt;&gt;"",IF(Tabela_kier[[#This Row],[sem5.godziny]]&gt;14,Tabela_kier[[#This Row],[sem5.godziny]]*0.6,Tabela_kier[[#This Row],[sem5.godziny]]),"")</f>
        <v/>
      </c>
      <c r="W46" s="216" t="str" cm="1">
        <f t="array" ref="W46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46" s="216" t="str">
        <f>IF(Tabela_kier[[#This Row],[sem5.forma]]&lt;&gt;"",Tabela_kier[[#This Row],[sem5.forma]],"")</f>
        <v/>
      </c>
      <c r="Y46" s="217" t="str">
        <f>IF(Tabela_kier[[#This Row],[sem6.godziny]]&lt;&gt;"",IF(Tabela_kier[[#This Row],[sem6.godziny]]&gt;14,Tabela_kier[[#This Row],[sem6.godziny]]*0.6,Tabela_kier[[#This Row],[sem6.godziny]]),"")</f>
        <v/>
      </c>
      <c r="Z46" s="217" t="str" cm="1">
        <f t="array" ref="Z46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46" s="217" t="str">
        <f>IF(Tabela_kier[[#This Row],[sem6.forma]]&lt;&gt;"",Tabela_kier[[#This Row],[sem6.forma]],"")</f>
        <v/>
      </c>
      <c r="AB46" s="218" t="str">
        <f>IF(Tabela_kier[[#This Row],[sem7.godziny]]&lt;&gt;"",IF(Tabela_kier[[#This Row],[sem7.godziny]]&gt;14,Tabela_kier[[#This Row],[sem7.godziny]]*0.6,Tabela_kier[[#This Row],[sem7.godziny]]),"")</f>
        <v/>
      </c>
      <c r="AC46" s="218" t="str" cm="1">
        <f t="array" ref="AC46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46" s="218" t="str">
        <f>IF(Tabela_kier[[#This Row],[sem7.forma]]&lt;&gt;"",Tabela_kier[[#This Row],[sem7.forma]],"")</f>
        <v/>
      </c>
      <c r="AE46" s="219" t="str">
        <f>IF(Tabela_kier[[#This Row],[sem8.godziny]]&lt;&gt;"",IF(Tabela_kier[[#This Row],[sem8.godziny]]&gt;14,Tabela_kier[[#This Row],[sem8.godziny]]*0.6,Tabela_kier[[#This Row],[sem8.godziny]]),"")</f>
        <v/>
      </c>
      <c r="AF46" s="219" t="str" cm="1">
        <f t="array" ref="AF46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46" s="219" t="str">
        <f>IF(Tabela_kier[[#This Row],[sem8.forma]]&lt;&gt;"",Tabela_kier[[#This Row],[sem8.forma]],"")</f>
        <v/>
      </c>
      <c r="AH46" s="220" t="str">
        <f>IF(Tabela_kier[[#This Row],[sem9.godziny]]&lt;&gt;"",IF(Tabela_kier[[#This Row],[sem9.godziny]]&gt;14,Tabela_kier[[#This Row],[sem9.godziny]]*0.6,Tabela_kier[[#This Row],[sem9.godziny]]),"")</f>
        <v/>
      </c>
      <c r="AI46" s="220" t="str" cm="1">
        <f t="array" ref="AI46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46" s="220" t="str">
        <f>IF(Tabela_kier[[#This Row],[sem9.forma]]&lt;&gt;"",Tabela_kier[[#This Row],[sem9.forma]],"")</f>
        <v/>
      </c>
      <c r="AK46" s="221" t="str">
        <f>IF(Tabela_kier[[#This Row],[sem10.godziny]]&lt;&gt;"",IF(Tabela_kier[[#This Row],[sem10.godziny]]&gt;14,Tabela_kier[[#This Row],[sem10.godziny]]*0.6,Tabela_kier[[#This Row],[sem10.godziny]]),"")</f>
        <v/>
      </c>
      <c r="AL46" s="221" t="str" cm="1">
        <f t="array" ref="AL46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46" s="221" t="str">
        <f>IF(Tabela_kier[[#This Row],[sem10.forma]]&lt;&gt;"",Tabela_kier[[#This Row],[sem10.forma]],"")</f>
        <v/>
      </c>
      <c r="AN46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46" s="223">
        <f>IF(ISERR(SEARCH("UP",Tabela_kier_nst[[#This Row],[Umiej.prakt.]],1)),0,Tabela_kier_nst[[#This Row],[ects.razem]])</f>
        <v>0</v>
      </c>
      <c r="AP46" s="224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46" s="225">
        <f>SUM(Tabela_kier_nst[[#This Row],[godziny.samoksztalcenie]],Tabela_kier_nst[[#This Row],[godziny.konsultacja]],Tabela_kier_nst[[#This Row],[godziny.egzamin]],Tabela_kier_nst[[#This Row],[godziny.zajec.razem]])</f>
        <v>27</v>
      </c>
      <c r="AR46" s="226">
        <f>Tabela_kier[[#This Row],[godziny.samoksztalcenie]]+(Tabela_kier[[#This Row],[godziny.zajec.razem]]-Tabela_kier_nst[[#This Row],[godziny.zajec.razem]])</f>
        <v>15</v>
      </c>
      <c r="AS46" s="227">
        <f>Tabela_kier[[#This Row],[godziny.konsultacja]]</f>
        <v>1</v>
      </c>
      <c r="AT46" s="228">
        <f>Tabela_kier[[#This Row],[godziny.egzamin]]</f>
        <v>2</v>
      </c>
      <c r="AU46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46" s="326">
        <f>IF(Tabela_kier_nst[[#This Row],[ects.bezposr.nauczyciel]],Tabela_kier_nst[[#This Row],[ects.bezposr.nauczyciel]]/Tabela_kier_nst[[#This Row],[ects.razem]],0)</f>
        <v>0.5</v>
      </c>
      <c r="AW46" s="49"/>
    </row>
    <row r="47" spans="1:49" ht="25.5" customHeight="1" x14ac:dyDescent="0.3">
      <c r="A47" s="207"/>
      <c r="B47" s="331" t="str">
        <f>IF(Tabela_kier[[#This Row],[kod.isced]]&lt;&gt;"",Tabela_kier[[#This Row],[kod.isced]],"")</f>
        <v>0412</v>
      </c>
      <c r="C47" s="193" t="str">
        <f>IF(Tabela_kier[[#This Row],[kod.dziedziny]]&lt;&gt;"",Tabela_kier[[#This Row],[kod.dziedziny]],"")</f>
        <v>501</v>
      </c>
      <c r="D47" s="193" t="str">
        <f>IF(Tabela_kier[[#This Row],[Modul]]&lt;&gt;"",Tabela_kier[[#This Row],[Modul]],"")</f>
        <v>kr.01.2</v>
      </c>
      <c r="E47" s="193" t="str">
        <f>IF(Tabela_kier[[#This Row],[Umiej.prakt.]]&lt;&gt;"",Tabela_kier[[#This Row],[Umiej.prakt.]],"")</f>
        <v/>
      </c>
      <c r="F47" s="308" t="str">
        <f>IF(Tabela_kier[[#This Row],[Nazwa przedmiotu]]&lt;&gt;"",Tabela_kier[[#This Row],[Nazwa przedmiotu]],"")</f>
        <v>Podstawy finansów</v>
      </c>
      <c r="G47" s="309" t="str">
        <f>IF(Tabela_kier[[#This Row],[Prowadzacy]]&lt;&gt;"",Tabela_kier[[#This Row],[Prowadzacy]],"")</f>
        <v/>
      </c>
      <c r="H47" s="155" t="str">
        <f>IF(Tabela_kier[[#This Row],[Forma]]&lt;&gt;"",Tabela_kier[[#This Row],[Forma]],"")</f>
        <v>ćwiczenia</v>
      </c>
      <c r="I47" s="156" t="str">
        <f>IF(Tabela_kier[[#This Row],[czy.ects]]&lt;&gt;"",Tabela_kier[[#This Row],[czy.ects]],"")</f>
        <v>TAK</v>
      </c>
      <c r="J47" s="356">
        <f>IF(Tabela_kier[[#This Row],[sem1.godziny]]&lt;&gt;"",IF(Tabela_kier[[#This Row],[sem1.godziny]]&gt;14,Tabela_kier[[#This Row],[sem1.godziny]]*0.6,Tabela_kier[[#This Row],[sem1.godziny]]),"")</f>
        <v>18</v>
      </c>
      <c r="K47" s="356">
        <v>3</v>
      </c>
      <c r="L47" s="356" t="str">
        <f>IF(Tabela_kier[[#This Row],[sem1.forma]]&lt;&gt;"",Tabela_kier[[#This Row],[sem1.forma]],"")</f>
        <v>z</v>
      </c>
      <c r="M47" s="357" t="str">
        <f>IF(Tabela_kier[[#This Row],[sem2.godziny]]&lt;&gt;"",IF(Tabela_kier[[#This Row],[sem2.godziny]]&gt;14,Tabela_kier[[#This Row],[sem2.godziny]]*0.6,Tabela_kier[[#This Row],[sem2.godziny]]),"")</f>
        <v/>
      </c>
      <c r="N47" s="357" t="str" cm="1">
        <f t="array" ref="N47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47" s="357" t="str">
        <f>IF(Tabela_kier[[#This Row],[sem2.forma]]&lt;&gt;"",Tabela_kier[[#This Row],[sem2.forma]],"")</f>
        <v/>
      </c>
      <c r="P47" s="358" t="str">
        <f>IF(Tabela_kier[[#This Row],[sem3.godziny]]&lt;&gt;"",IF(Tabela_kier[[#This Row],[sem3.godziny]]&gt;14,Tabela_kier[[#This Row],[sem3.godziny]]*0.6,Tabela_kier[[#This Row],[sem3.godziny]]),"")</f>
        <v/>
      </c>
      <c r="Q47" s="359" t="str" cm="1">
        <f t="array" ref="Q47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47" s="358" t="str">
        <f>IF(Tabela_kier[[#This Row],[sem3.forma]]&lt;&gt;"",Tabela_kier[[#This Row],[sem3.forma]],"")</f>
        <v/>
      </c>
      <c r="S47" s="355" t="str">
        <f>IF(Tabela_kier[[#This Row],[sem4.godziny]]&lt;&gt;"",IF(Tabela_kier[[#This Row],[sem4.godziny]]&gt;14,Tabela_kier[[#This Row],[sem4.godziny]]*0.6,Tabela_kier[[#This Row],[sem4.godziny]]),"")</f>
        <v/>
      </c>
      <c r="T47" s="355" t="str" cm="1">
        <f t="array" ref="T47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47" s="355" t="str">
        <f>IF(Tabela_kier[[#This Row],[sem4.forma]]&lt;&gt;"",Tabela_kier[[#This Row],[sem4.forma]],"")</f>
        <v/>
      </c>
      <c r="V47" s="216" t="str">
        <f>IF(Tabela_kier[[#This Row],[sem5.godziny]]&lt;&gt;"",IF(Tabela_kier[[#This Row],[sem5.godziny]]&gt;14,Tabela_kier[[#This Row],[sem5.godziny]]*0.6,Tabela_kier[[#This Row],[sem5.godziny]]),"")</f>
        <v/>
      </c>
      <c r="W47" s="216" t="str" cm="1">
        <f t="array" ref="W47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47" s="216" t="str">
        <f>IF(Tabela_kier[[#This Row],[sem5.forma]]&lt;&gt;"",Tabela_kier[[#This Row],[sem5.forma]],"")</f>
        <v/>
      </c>
      <c r="Y47" s="217" t="str">
        <f>IF(Tabela_kier[[#This Row],[sem6.godziny]]&lt;&gt;"",IF(Tabela_kier[[#This Row],[sem6.godziny]]&gt;14,Tabela_kier[[#This Row],[sem6.godziny]]*0.6,Tabela_kier[[#This Row],[sem6.godziny]]),"")</f>
        <v/>
      </c>
      <c r="Z47" s="217" t="str" cm="1">
        <f t="array" ref="Z47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47" s="217" t="str">
        <f>IF(Tabela_kier[[#This Row],[sem6.forma]]&lt;&gt;"",Tabela_kier[[#This Row],[sem6.forma]],"")</f>
        <v/>
      </c>
      <c r="AB47" s="218" t="str">
        <f>IF(Tabela_kier[[#This Row],[sem7.godziny]]&lt;&gt;"",IF(Tabela_kier[[#This Row],[sem7.godziny]]&gt;14,Tabela_kier[[#This Row],[sem7.godziny]]*0.6,Tabela_kier[[#This Row],[sem7.godziny]]),"")</f>
        <v/>
      </c>
      <c r="AC47" s="218" t="str" cm="1">
        <f t="array" ref="AC47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47" s="218" t="str">
        <f>IF(Tabela_kier[[#This Row],[sem7.forma]]&lt;&gt;"",Tabela_kier[[#This Row],[sem7.forma]],"")</f>
        <v/>
      </c>
      <c r="AE47" s="219" t="str">
        <f>IF(Tabela_kier[[#This Row],[sem8.godziny]]&lt;&gt;"",IF(Tabela_kier[[#This Row],[sem8.godziny]]&gt;14,Tabela_kier[[#This Row],[sem8.godziny]]*0.6,Tabela_kier[[#This Row],[sem8.godziny]]),"")</f>
        <v/>
      </c>
      <c r="AF47" s="219" t="str" cm="1">
        <f t="array" ref="AF47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47" s="219" t="str">
        <f>IF(Tabela_kier[[#This Row],[sem8.forma]]&lt;&gt;"",Tabela_kier[[#This Row],[sem8.forma]],"")</f>
        <v/>
      </c>
      <c r="AH47" s="220" t="str">
        <f>IF(Tabela_kier[[#This Row],[sem9.godziny]]&lt;&gt;"",IF(Tabela_kier[[#This Row],[sem9.godziny]]&gt;14,Tabela_kier[[#This Row],[sem9.godziny]]*0.6,Tabela_kier[[#This Row],[sem9.godziny]]),"")</f>
        <v/>
      </c>
      <c r="AI47" s="220" t="str" cm="1">
        <f t="array" ref="AI47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47" s="220" t="str">
        <f>IF(Tabela_kier[[#This Row],[sem9.forma]]&lt;&gt;"",Tabela_kier[[#This Row],[sem9.forma]],"")</f>
        <v/>
      </c>
      <c r="AK47" s="221" t="str">
        <f>IF(Tabela_kier[[#This Row],[sem10.godziny]]&lt;&gt;"",IF(Tabela_kier[[#This Row],[sem10.godziny]]&gt;14,Tabela_kier[[#This Row],[sem10.godziny]]*0.6,Tabela_kier[[#This Row],[sem10.godziny]]),"")</f>
        <v/>
      </c>
      <c r="AL47" s="221" t="str" cm="1">
        <f t="array" ref="AL47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47" s="221" t="str">
        <f>IF(Tabela_kier[[#This Row],[sem10.forma]]&lt;&gt;"",Tabela_kier[[#This Row],[sem10.forma]],"")</f>
        <v/>
      </c>
      <c r="AN47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47" s="223">
        <f>IF(ISERR(SEARCH("UP",Tabela_kier_nst[[#This Row],[Umiej.prakt.]],1)),0,Tabela_kier_nst[[#This Row],[ects.razem]])</f>
        <v>0</v>
      </c>
      <c r="AP47" s="224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47" s="225">
        <f>SUM(Tabela_kier_nst[[#This Row],[godziny.samoksztalcenie]],Tabela_kier_nst[[#This Row],[godziny.konsultacja]],Tabela_kier_nst[[#This Row],[godziny.egzamin]],Tabela_kier_nst[[#This Row],[godziny.zajec.razem]])</f>
        <v>52</v>
      </c>
      <c r="AR47" s="226">
        <f>Tabela_kier[[#This Row],[godziny.samoksztalcenie]]+(Tabela_kier[[#This Row],[godziny.zajec.razem]]-Tabela_kier_nst[[#This Row],[godziny.zajec.razem]])</f>
        <v>29</v>
      </c>
      <c r="AS47" s="227">
        <f>Tabela_kier[[#This Row],[godziny.konsultacja]]</f>
        <v>3</v>
      </c>
      <c r="AT47" s="228">
        <f>Tabela_kier[[#This Row],[godziny.egzamin]]</f>
        <v>2</v>
      </c>
      <c r="AU47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47" s="326">
        <f>IF(Tabela_kier_nst[[#This Row],[ects.bezposr.nauczyciel]],Tabela_kier_nst[[#This Row],[ects.bezposr.nauczyciel]]/Tabela_kier_nst[[#This Row],[ects.razem]],0)</f>
        <v>0.33333333333333331</v>
      </c>
      <c r="AW47" s="49"/>
    </row>
    <row r="48" spans="1:49" ht="25.5" customHeight="1" x14ac:dyDescent="0.3">
      <c r="A48" s="207"/>
      <c r="B48" s="443" t="str">
        <f>IF(Tabela_kier[[#This Row],[kod.isced]]&lt;&gt;"",Tabela_kier[[#This Row],[kod.isced]],"")</f>
        <v>0031</v>
      </c>
      <c r="C48" s="437">
        <f>IF(Tabela_kier[[#This Row],[kod.dziedziny]]&lt;&gt;"",Tabela_kier[[#This Row],[kod.dziedziny]],"")</f>
        <v>504</v>
      </c>
      <c r="D48" s="437" t="str">
        <f>IF(Tabela_kier[[#This Row],[Modul]]&lt;&gt;"",Tabela_kier[[#This Row],[Modul]],"")</f>
        <v>kr.02.1</v>
      </c>
      <c r="E48" s="437" t="str">
        <f>IF(Tabela_kier[[#This Row],[Umiej.prakt.]]&lt;&gt;"",Tabela_kier[[#This Row],[Umiej.prakt.]],"")</f>
        <v>up</v>
      </c>
      <c r="F48" s="438" t="str">
        <f>IF(Tabela_kier[[#This Row],[Nazwa przedmiotu]]&lt;&gt;"",Tabela_kier[[#This Row],[Nazwa przedmiotu]],"")</f>
        <v>Coaching</v>
      </c>
      <c r="G48" s="439" t="str">
        <f>IF(Tabela_kier[[#This Row],[Prowadzacy]]&lt;&gt;"",Tabela_kier[[#This Row],[Prowadzacy]],"")</f>
        <v/>
      </c>
      <c r="H48" s="440" t="str">
        <f>IF(Tabela_kier[[#This Row],[Forma]]&lt;&gt;"",Tabela_kier[[#This Row],[Forma]],"")</f>
        <v>konwersatorium</v>
      </c>
      <c r="I48" s="441" t="str">
        <f>IF(Tabela_kier[[#This Row],[czy.ects]]&lt;&gt;"",Tabela_kier[[#This Row],[czy.ects]],"")</f>
        <v>TAK</v>
      </c>
      <c r="J48" s="356">
        <f>IF(Tabela_kier[[#This Row],[sem1.godziny]]&lt;&gt;"",IF(Tabela_kier[[#This Row],[sem1.godziny]]&gt;14,Tabela_kier[[#This Row],[sem1.godziny]]*0.6,Tabela_kier[[#This Row],[sem1.godziny]]),"")</f>
        <v>18</v>
      </c>
      <c r="K48" s="356">
        <v>3</v>
      </c>
      <c r="L48" s="356" t="str">
        <f>IF(Tabela_kier[[#This Row],[sem1.forma]]&lt;&gt;"",Tabela_kier[[#This Row],[sem1.forma]],"")</f>
        <v>z</v>
      </c>
      <c r="M48" s="357" t="str">
        <f>IF(Tabela_kier[[#This Row],[sem2.godziny]]&lt;&gt;"",IF(Tabela_kier[[#This Row],[sem2.godziny]]&gt;14,Tabela_kier[[#This Row],[sem2.godziny]]*0.6,Tabela_kier[[#This Row],[sem2.godziny]]),"")</f>
        <v/>
      </c>
      <c r="N48" s="357" t="str" cm="1">
        <f t="array" ref="N48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48" s="357" t="str">
        <f>IF(Tabela_kier[[#This Row],[sem2.forma]]&lt;&gt;"",Tabela_kier[[#This Row],[sem2.forma]],"")</f>
        <v/>
      </c>
      <c r="P48" s="358" t="str">
        <f>IF(Tabela_kier[[#This Row],[sem3.godziny]]&lt;&gt;"",IF(Tabela_kier[[#This Row],[sem3.godziny]]&gt;14,Tabela_kier[[#This Row],[sem3.godziny]]*0.6,Tabela_kier[[#This Row],[sem3.godziny]]),"")</f>
        <v/>
      </c>
      <c r="Q48" s="359" t="str" cm="1">
        <f t="array" ref="Q48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48" s="358" t="str">
        <f>IF(Tabela_kier[[#This Row],[sem3.forma]]&lt;&gt;"",Tabela_kier[[#This Row],[sem3.forma]],"")</f>
        <v/>
      </c>
      <c r="S48" s="355" t="str">
        <f>IF(Tabela_kier[[#This Row],[sem4.godziny]]&lt;&gt;"",IF(Tabela_kier[[#This Row],[sem4.godziny]]&gt;14,Tabela_kier[[#This Row],[sem4.godziny]]*0.6,Tabela_kier[[#This Row],[sem4.godziny]]),"")</f>
        <v/>
      </c>
      <c r="T48" s="355" t="str" cm="1">
        <f t="array" ref="T48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48" s="355" t="str">
        <f>IF(Tabela_kier[[#This Row],[sem4.forma]]&lt;&gt;"",Tabela_kier[[#This Row],[sem4.forma]],"")</f>
        <v/>
      </c>
      <c r="V48" s="216" t="str">
        <f>IF(Tabela_kier[[#This Row],[sem5.godziny]]&lt;&gt;"",IF(Tabela_kier[[#This Row],[sem5.godziny]]&gt;14,Tabela_kier[[#This Row],[sem5.godziny]]*0.6,Tabela_kier[[#This Row],[sem5.godziny]]),"")</f>
        <v/>
      </c>
      <c r="W48" s="216" t="str" cm="1">
        <f t="array" ref="W48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48" s="216" t="str">
        <f>IF(Tabela_kier[[#This Row],[sem5.forma]]&lt;&gt;"",Tabela_kier[[#This Row],[sem5.forma]],"")</f>
        <v/>
      </c>
      <c r="Y48" s="217" t="str">
        <f>IF(Tabela_kier[[#This Row],[sem6.godziny]]&lt;&gt;"",IF(Tabela_kier[[#This Row],[sem6.godziny]]&gt;14,Tabela_kier[[#This Row],[sem6.godziny]]*0.6,Tabela_kier[[#This Row],[sem6.godziny]]),"")</f>
        <v/>
      </c>
      <c r="Z48" s="217" t="str" cm="1">
        <f t="array" ref="Z48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48" s="217" t="str">
        <f>IF(Tabela_kier[[#This Row],[sem6.forma]]&lt;&gt;"",Tabela_kier[[#This Row],[sem6.forma]],"")</f>
        <v/>
      </c>
      <c r="AB48" s="218" t="str">
        <f>IF(Tabela_kier[[#This Row],[sem7.godziny]]&lt;&gt;"",IF(Tabela_kier[[#This Row],[sem7.godziny]]&gt;14,Tabela_kier[[#This Row],[sem7.godziny]]*0.6,Tabela_kier[[#This Row],[sem7.godziny]]),"")</f>
        <v/>
      </c>
      <c r="AC48" s="218" t="str" cm="1">
        <f t="array" ref="AC48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48" s="218" t="str">
        <f>IF(Tabela_kier[[#This Row],[sem7.forma]]&lt;&gt;"",Tabela_kier[[#This Row],[sem7.forma]],"")</f>
        <v/>
      </c>
      <c r="AE48" s="219" t="str">
        <f>IF(Tabela_kier[[#This Row],[sem8.godziny]]&lt;&gt;"",IF(Tabela_kier[[#This Row],[sem8.godziny]]&gt;14,Tabela_kier[[#This Row],[sem8.godziny]]*0.6,Tabela_kier[[#This Row],[sem8.godziny]]),"")</f>
        <v/>
      </c>
      <c r="AF48" s="219" t="str" cm="1">
        <f t="array" ref="AF48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48" s="219" t="str">
        <f>IF(Tabela_kier[[#This Row],[sem8.forma]]&lt;&gt;"",Tabela_kier[[#This Row],[sem8.forma]],"")</f>
        <v/>
      </c>
      <c r="AH48" s="220" t="str">
        <f>IF(Tabela_kier[[#This Row],[sem9.godziny]]&lt;&gt;"",IF(Tabela_kier[[#This Row],[sem9.godziny]]&gt;14,Tabela_kier[[#This Row],[sem9.godziny]]*0.6,Tabela_kier[[#This Row],[sem9.godziny]]),"")</f>
        <v/>
      </c>
      <c r="AI48" s="220" t="str" cm="1">
        <f t="array" ref="AI48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48" s="220" t="str">
        <f>IF(Tabela_kier[[#This Row],[sem9.forma]]&lt;&gt;"",Tabela_kier[[#This Row],[sem9.forma]],"")</f>
        <v/>
      </c>
      <c r="AK48" s="221" t="str">
        <f>IF(Tabela_kier[[#This Row],[sem10.godziny]]&lt;&gt;"",IF(Tabela_kier[[#This Row],[sem10.godziny]]&gt;14,Tabela_kier[[#This Row],[sem10.godziny]]*0.6,Tabela_kier[[#This Row],[sem10.godziny]]),"")</f>
        <v/>
      </c>
      <c r="AL48" s="221" t="str" cm="1">
        <f t="array" ref="AL48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48" s="221" t="str">
        <f>IF(Tabela_kier[[#This Row],[sem10.forma]]&lt;&gt;"",Tabela_kier[[#This Row],[sem10.forma]],"")</f>
        <v/>
      </c>
      <c r="AN48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48" s="389">
        <f>IF(ISERR(SEARCH("UP",Tabela_kier_nst[[#This Row],[Umiej.prakt.]],1)),0,Tabela_kier_nst[[#This Row],[ects.razem]])</f>
        <v>3</v>
      </c>
      <c r="AP48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48" s="391">
        <f>SUM(Tabela_kier_nst[[#This Row],[godziny.samoksztalcenie]],Tabela_kier_nst[[#This Row],[godziny.konsultacja]],Tabela_kier_nst[[#This Row],[godziny.egzamin]],Tabela_kier_nst[[#This Row],[godziny.zajec.razem]])</f>
        <v>52</v>
      </c>
      <c r="AR48" s="392">
        <f>Tabela_kier[[#This Row],[godziny.samoksztalcenie]]+(Tabela_kier[[#This Row],[godziny.zajec.razem]]-Tabela_kier_nst[[#This Row],[godziny.zajec.razem]])</f>
        <v>29</v>
      </c>
      <c r="AS48" s="393">
        <f>Tabela_kier[[#This Row],[godziny.konsultacja]]</f>
        <v>3</v>
      </c>
      <c r="AT48" s="394">
        <f>Tabela_kier[[#This Row],[godziny.egzamin]]</f>
        <v>2</v>
      </c>
      <c r="AU48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48" s="442">
        <f>IF(Tabela_kier_nst[[#This Row],[ects.bezposr.nauczyciel]],Tabela_kier_nst[[#This Row],[ects.bezposr.nauczyciel]]/Tabela_kier_nst[[#This Row],[ects.razem]],0)</f>
        <v>0.33333333333333331</v>
      </c>
      <c r="AW48" s="49"/>
    </row>
    <row r="49" spans="1:49" ht="25.5" customHeight="1" x14ac:dyDescent="0.3">
      <c r="A49" s="207"/>
      <c r="B49" s="443" t="str">
        <f>IF(Tabela_kier[[#This Row],[kod.isced]]&lt;&gt;"",Tabela_kier[[#This Row],[kod.isced]],"")</f>
        <v>0411</v>
      </c>
      <c r="C49" s="437">
        <f>IF(Tabela_kier[[#This Row],[kod.dziedziny]]&lt;&gt;"",Tabela_kier[[#This Row],[kod.dziedziny]],"")</f>
        <v>501</v>
      </c>
      <c r="D49" s="437" t="str">
        <f>IF(Tabela_kier[[#This Row],[Modul]]&lt;&gt;"",Tabela_kier[[#This Row],[Modul]],"")</f>
        <v>kr.03.1</v>
      </c>
      <c r="E49" s="437" t="str">
        <f>IF(Tabela_kier[[#This Row],[Umiej.prakt.]]&lt;&gt;"",Tabela_kier[[#This Row],[Umiej.prakt.]],"")</f>
        <v>up</v>
      </c>
      <c r="F49" s="438" t="str">
        <f>IF(Tabela_kier[[#This Row],[Nazwa przedmiotu]]&lt;&gt;"",Tabela_kier[[#This Row],[Nazwa przedmiotu]],"")</f>
        <v>Podstawy opodatkowania</v>
      </c>
      <c r="G49" s="439" t="str">
        <f>IF(Tabela_kier[[#This Row],[Prowadzacy]]&lt;&gt;"",Tabela_kier[[#This Row],[Prowadzacy]],"")</f>
        <v/>
      </c>
      <c r="H49" s="440" t="str">
        <f>IF(Tabela_kier[[#This Row],[Forma]]&lt;&gt;"",Tabela_kier[[#This Row],[Forma]],"")</f>
        <v>konwersatorium</v>
      </c>
      <c r="I49" s="441" t="str">
        <f>IF(Tabela_kier[[#This Row],[czy.ects]]&lt;&gt;"",Tabela_kier[[#This Row],[czy.ects]],"")</f>
        <v>TAK</v>
      </c>
      <c r="J49" s="356" t="str">
        <f>IF(Tabela_kier[[#This Row],[sem1.godziny]]&lt;&gt;"",IF(Tabela_kier[[#This Row],[sem1.godziny]]&gt;14,Tabela_kier[[#This Row],[sem1.godziny]]*0.6,Tabela_kier[[#This Row],[sem1.godziny]]),"")</f>
        <v/>
      </c>
      <c r="K49" s="356" t="str" cm="1">
        <f t="array" ref="K49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49" s="356" t="str">
        <f>IF(Tabela_kier[[#This Row],[sem1.forma]]&lt;&gt;"",Tabela_kier[[#This Row],[sem1.forma]],"")</f>
        <v/>
      </c>
      <c r="M49" s="357">
        <f>IF(Tabela_kier[[#This Row],[sem2.godziny]]&lt;&gt;"",IF(Tabela_kier[[#This Row],[sem2.godziny]]&gt;14,Tabela_kier[[#This Row],[sem2.godziny]]*0.6,Tabela_kier[[#This Row],[sem2.godziny]]),"")</f>
        <v>9</v>
      </c>
      <c r="N49" s="357">
        <v>1</v>
      </c>
      <c r="O49" s="357" t="str">
        <f>IF(Tabela_kier[[#This Row],[sem2.forma]]&lt;&gt;"",Tabela_kier[[#This Row],[sem2.forma]],"")</f>
        <v>e</v>
      </c>
      <c r="P49" s="358" t="str">
        <f>IF(Tabela_kier[[#This Row],[sem3.godziny]]&lt;&gt;"",IF(Tabela_kier[[#This Row],[sem3.godziny]]&gt;14,Tabela_kier[[#This Row],[sem3.godziny]]*0.6,Tabela_kier[[#This Row],[sem3.godziny]]),"")</f>
        <v/>
      </c>
      <c r="Q49" s="359" t="str" cm="1">
        <f t="array" ref="Q49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49" s="358" t="str">
        <f>IF(Tabela_kier[[#This Row],[sem3.forma]]&lt;&gt;"",Tabela_kier[[#This Row],[sem3.forma]],"")</f>
        <v/>
      </c>
      <c r="S49" s="355" t="str">
        <f>IF(Tabela_kier[[#This Row],[sem4.godziny]]&lt;&gt;"",IF(Tabela_kier[[#This Row],[sem4.godziny]]&gt;14,Tabela_kier[[#This Row],[sem4.godziny]]*0.6,Tabela_kier[[#This Row],[sem4.godziny]]),"")</f>
        <v/>
      </c>
      <c r="T49" s="355" t="str" cm="1">
        <f t="array" ref="T49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49" s="355" t="str">
        <f>IF(Tabela_kier[[#This Row],[sem4.forma]]&lt;&gt;"",Tabela_kier[[#This Row],[sem4.forma]],"")</f>
        <v/>
      </c>
      <c r="V49" s="216" t="str">
        <f>IF(Tabela_kier[[#This Row],[sem5.godziny]]&lt;&gt;"",IF(Tabela_kier[[#This Row],[sem5.godziny]]&gt;14,Tabela_kier[[#This Row],[sem5.godziny]]*0.6,Tabela_kier[[#This Row],[sem5.godziny]]),"")</f>
        <v/>
      </c>
      <c r="W49" s="216" t="str" cm="1">
        <f t="array" ref="W49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49" s="216" t="str">
        <f>IF(Tabela_kier[[#This Row],[sem5.forma]]&lt;&gt;"",Tabela_kier[[#This Row],[sem5.forma]],"")</f>
        <v/>
      </c>
      <c r="Y49" s="217" t="str">
        <f>IF(Tabela_kier[[#This Row],[sem6.godziny]]&lt;&gt;"",IF(Tabela_kier[[#This Row],[sem6.godziny]]&gt;14,Tabela_kier[[#This Row],[sem6.godziny]]*0.6,Tabela_kier[[#This Row],[sem6.godziny]]),"")</f>
        <v/>
      </c>
      <c r="Z49" s="217" t="str" cm="1">
        <f t="array" ref="Z49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49" s="217" t="str">
        <f>IF(Tabela_kier[[#This Row],[sem6.forma]]&lt;&gt;"",Tabela_kier[[#This Row],[sem6.forma]],"")</f>
        <v/>
      </c>
      <c r="AB49" s="218" t="str">
        <f>IF(Tabela_kier[[#This Row],[sem7.godziny]]&lt;&gt;"",IF(Tabela_kier[[#This Row],[sem7.godziny]]&gt;14,Tabela_kier[[#This Row],[sem7.godziny]]*0.6,Tabela_kier[[#This Row],[sem7.godziny]]),"")</f>
        <v/>
      </c>
      <c r="AC49" s="218" t="str" cm="1">
        <f t="array" ref="AC49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49" s="218" t="str">
        <f>IF(Tabela_kier[[#This Row],[sem7.forma]]&lt;&gt;"",Tabela_kier[[#This Row],[sem7.forma]],"")</f>
        <v/>
      </c>
      <c r="AE49" s="219" t="str">
        <f>IF(Tabela_kier[[#This Row],[sem8.godziny]]&lt;&gt;"",IF(Tabela_kier[[#This Row],[sem8.godziny]]&gt;14,Tabela_kier[[#This Row],[sem8.godziny]]*0.6,Tabela_kier[[#This Row],[sem8.godziny]]),"")</f>
        <v/>
      </c>
      <c r="AF49" s="219" t="str" cm="1">
        <f t="array" ref="AF49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49" s="219" t="str">
        <f>IF(Tabela_kier[[#This Row],[sem8.forma]]&lt;&gt;"",Tabela_kier[[#This Row],[sem8.forma]],"")</f>
        <v/>
      </c>
      <c r="AH49" s="220" t="str">
        <f>IF(Tabela_kier[[#This Row],[sem9.godziny]]&lt;&gt;"",IF(Tabela_kier[[#This Row],[sem9.godziny]]&gt;14,Tabela_kier[[#This Row],[sem9.godziny]]*0.6,Tabela_kier[[#This Row],[sem9.godziny]]),"")</f>
        <v/>
      </c>
      <c r="AI49" s="220" t="str" cm="1">
        <f t="array" ref="AI49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49" s="220" t="str">
        <f>IF(Tabela_kier[[#This Row],[sem9.forma]]&lt;&gt;"",Tabela_kier[[#This Row],[sem9.forma]],"")</f>
        <v/>
      </c>
      <c r="AK49" s="221" t="str">
        <f>IF(Tabela_kier[[#This Row],[sem10.godziny]]&lt;&gt;"",IF(Tabela_kier[[#This Row],[sem10.godziny]]&gt;14,Tabela_kier[[#This Row],[sem10.godziny]]*0.6,Tabela_kier[[#This Row],[sem10.godziny]]),"")</f>
        <v/>
      </c>
      <c r="AL49" s="221" t="str" cm="1">
        <f t="array" ref="AL49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49" s="221" t="str">
        <f>IF(Tabela_kier[[#This Row],[sem10.forma]]&lt;&gt;"",Tabela_kier[[#This Row],[sem10.forma]],"")</f>
        <v/>
      </c>
      <c r="AN49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49" s="389">
        <f>IF(ISERR(SEARCH("UP",Tabela_kier_nst[[#This Row],[Umiej.prakt.]],1)),0,Tabela_kier_nst[[#This Row],[ects.razem]])</f>
        <v>1</v>
      </c>
      <c r="AP49" s="390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49" s="391">
        <f>SUM(Tabela_kier_nst[[#This Row],[godziny.samoksztalcenie]],Tabela_kier_nst[[#This Row],[godziny.konsultacja]],Tabela_kier_nst[[#This Row],[godziny.egzamin]],Tabela_kier_nst[[#This Row],[godziny.zajec.razem]])</f>
        <v>27</v>
      </c>
      <c r="AR49" s="392">
        <f>Tabela_kier[[#This Row],[godziny.samoksztalcenie]]+(Tabela_kier[[#This Row],[godziny.zajec.razem]]-Tabela_kier_nst[[#This Row],[godziny.zajec.razem]])</f>
        <v>15</v>
      </c>
      <c r="AS49" s="393">
        <f>Tabela_kier[[#This Row],[godziny.konsultacja]]</f>
        <v>1</v>
      </c>
      <c r="AT49" s="394">
        <f>Tabela_kier[[#This Row],[godziny.egzamin]]</f>
        <v>2</v>
      </c>
      <c r="AU49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49" s="442">
        <f>IF(Tabela_kier_nst[[#This Row],[ects.bezposr.nauczyciel]],Tabela_kier_nst[[#This Row],[ects.bezposr.nauczyciel]]/Tabela_kier_nst[[#This Row],[ects.razem]],0)</f>
        <v>0.5</v>
      </c>
      <c r="AW49" s="49"/>
    </row>
    <row r="50" spans="1:49" ht="25.5" customHeight="1" x14ac:dyDescent="0.3">
      <c r="A50" s="207"/>
      <c r="B50" s="443" t="str">
        <f>IF(Tabela_kier[[#This Row],[kod.isced]]&lt;&gt;"",Tabela_kier[[#This Row],[kod.isced]],"")</f>
        <v>0411</v>
      </c>
      <c r="C50" s="437">
        <f>IF(Tabela_kier[[#This Row],[kod.dziedziny]]&lt;&gt;"",Tabela_kier[[#This Row],[kod.dziedziny]],"")</f>
        <v>501</v>
      </c>
      <c r="D50" s="437" t="str">
        <f>IF(Tabela_kier[[#This Row],[Modul]]&lt;&gt;"",Tabela_kier[[#This Row],[Modul]],"")</f>
        <v>kr.03.2</v>
      </c>
      <c r="E50" s="437" t="str">
        <f>IF(Tabela_kier[[#This Row],[Umiej.prakt.]]&lt;&gt;"",Tabela_kier[[#This Row],[Umiej.prakt.]],"")</f>
        <v>up</v>
      </c>
      <c r="F50" s="438" t="str">
        <f>IF(Tabela_kier[[#This Row],[Nazwa przedmiotu]]&lt;&gt;"",Tabela_kier[[#This Row],[Nazwa przedmiotu]],"")</f>
        <v>Podstawy opodatkowania</v>
      </c>
      <c r="G50" s="439" t="str">
        <f>IF(Tabela_kier[[#This Row],[Prowadzacy]]&lt;&gt;"",Tabela_kier[[#This Row],[Prowadzacy]],"")</f>
        <v/>
      </c>
      <c r="H50" s="440" t="str">
        <f>IF(Tabela_kier[[#This Row],[Forma]]&lt;&gt;"",Tabela_kier[[#This Row],[Forma]],"")</f>
        <v>ćwiczenia</v>
      </c>
      <c r="I50" s="441" t="str">
        <f>IF(Tabela_kier[[#This Row],[czy.ects]]&lt;&gt;"",Tabela_kier[[#This Row],[czy.ects]],"")</f>
        <v>TAK</v>
      </c>
      <c r="J50" s="356" t="str">
        <f>IF(Tabela_kier[[#This Row],[sem1.godziny]]&lt;&gt;"",IF(Tabela_kier[[#This Row],[sem1.godziny]]&gt;14,Tabela_kier[[#This Row],[sem1.godziny]]*0.6,Tabela_kier[[#This Row],[sem1.godziny]]),"")</f>
        <v/>
      </c>
      <c r="K50" s="356" t="str" cm="1">
        <f t="array" ref="K50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0" s="356" t="str">
        <f>IF(Tabela_kier[[#This Row],[sem1.forma]]&lt;&gt;"",Tabela_kier[[#This Row],[sem1.forma]],"")</f>
        <v/>
      </c>
      <c r="M50" s="357">
        <f>IF(Tabela_kier[[#This Row],[sem2.godziny]]&lt;&gt;"",IF(Tabela_kier[[#This Row],[sem2.godziny]]&gt;14,Tabela_kier[[#This Row],[sem2.godziny]]*0.6,Tabela_kier[[#This Row],[sem2.godziny]]),"")</f>
        <v>18</v>
      </c>
      <c r="N50" s="357">
        <v>3</v>
      </c>
      <c r="O50" s="357" t="str">
        <f>IF(Tabela_kier[[#This Row],[sem2.forma]]&lt;&gt;"",Tabela_kier[[#This Row],[sem2.forma]],"")</f>
        <v>z</v>
      </c>
      <c r="P50" s="358" t="str">
        <f>IF(Tabela_kier[[#This Row],[sem3.godziny]]&lt;&gt;"",IF(Tabela_kier[[#This Row],[sem3.godziny]]&gt;14,Tabela_kier[[#This Row],[sem3.godziny]]*0.6,Tabela_kier[[#This Row],[sem3.godziny]]),"")</f>
        <v/>
      </c>
      <c r="Q50" s="359" t="str" cm="1">
        <f t="array" ref="Q50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50" s="358" t="str">
        <f>IF(Tabela_kier[[#This Row],[sem3.forma]]&lt;&gt;"",Tabela_kier[[#This Row],[sem3.forma]],"")</f>
        <v/>
      </c>
      <c r="S50" s="355" t="str">
        <f>IF(Tabela_kier[[#This Row],[sem4.godziny]]&lt;&gt;"",IF(Tabela_kier[[#This Row],[sem4.godziny]]&gt;14,Tabela_kier[[#This Row],[sem4.godziny]]*0.6,Tabela_kier[[#This Row],[sem4.godziny]]),"")</f>
        <v/>
      </c>
      <c r="T50" s="355" t="str" cm="1">
        <f t="array" ref="T50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0" s="355" t="str">
        <f>IF(Tabela_kier[[#This Row],[sem4.forma]]&lt;&gt;"",Tabela_kier[[#This Row],[sem4.forma]],"")</f>
        <v/>
      </c>
      <c r="V50" s="216" t="str">
        <f>IF(Tabela_kier[[#This Row],[sem5.godziny]]&lt;&gt;"",IF(Tabela_kier[[#This Row],[sem5.godziny]]&gt;14,Tabela_kier[[#This Row],[sem5.godziny]]*0.6,Tabela_kier[[#This Row],[sem5.godziny]]),"")</f>
        <v/>
      </c>
      <c r="W50" s="216" t="str" cm="1">
        <f t="array" ref="W50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0" s="216" t="str">
        <f>IF(Tabela_kier[[#This Row],[sem5.forma]]&lt;&gt;"",Tabela_kier[[#This Row],[sem5.forma]],"")</f>
        <v/>
      </c>
      <c r="Y50" s="217" t="str">
        <f>IF(Tabela_kier[[#This Row],[sem6.godziny]]&lt;&gt;"",IF(Tabela_kier[[#This Row],[sem6.godziny]]&gt;14,Tabela_kier[[#This Row],[sem6.godziny]]*0.6,Tabela_kier[[#This Row],[sem6.godziny]]),"")</f>
        <v/>
      </c>
      <c r="Z50" s="217" t="str" cm="1">
        <f t="array" ref="Z50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0" s="217" t="str">
        <f>IF(Tabela_kier[[#This Row],[sem6.forma]]&lt;&gt;"",Tabela_kier[[#This Row],[sem6.forma]],"")</f>
        <v/>
      </c>
      <c r="AB50" s="218" t="str">
        <f>IF(Tabela_kier[[#This Row],[sem7.godziny]]&lt;&gt;"",IF(Tabela_kier[[#This Row],[sem7.godziny]]&gt;14,Tabela_kier[[#This Row],[sem7.godziny]]*0.6,Tabela_kier[[#This Row],[sem7.godziny]]),"")</f>
        <v/>
      </c>
      <c r="AC50" s="218" t="str" cm="1">
        <f t="array" ref="AC50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0" s="218" t="str">
        <f>IF(Tabela_kier[[#This Row],[sem7.forma]]&lt;&gt;"",Tabela_kier[[#This Row],[sem7.forma]],"")</f>
        <v/>
      </c>
      <c r="AE50" s="219" t="str">
        <f>IF(Tabela_kier[[#This Row],[sem8.godziny]]&lt;&gt;"",IF(Tabela_kier[[#This Row],[sem8.godziny]]&gt;14,Tabela_kier[[#This Row],[sem8.godziny]]*0.6,Tabela_kier[[#This Row],[sem8.godziny]]),"")</f>
        <v/>
      </c>
      <c r="AF50" s="219" t="str" cm="1">
        <f t="array" ref="AF50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0" s="219" t="str">
        <f>IF(Tabela_kier[[#This Row],[sem8.forma]]&lt;&gt;"",Tabela_kier[[#This Row],[sem8.forma]],"")</f>
        <v/>
      </c>
      <c r="AH50" s="220" t="str">
        <f>IF(Tabela_kier[[#This Row],[sem9.godziny]]&lt;&gt;"",IF(Tabela_kier[[#This Row],[sem9.godziny]]&gt;14,Tabela_kier[[#This Row],[sem9.godziny]]*0.6,Tabela_kier[[#This Row],[sem9.godziny]]),"")</f>
        <v/>
      </c>
      <c r="AI50" s="220" t="str" cm="1">
        <f t="array" ref="AI50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0" s="220" t="str">
        <f>IF(Tabela_kier[[#This Row],[sem9.forma]]&lt;&gt;"",Tabela_kier[[#This Row],[sem9.forma]],"")</f>
        <v/>
      </c>
      <c r="AK50" s="221" t="str">
        <f>IF(Tabela_kier[[#This Row],[sem10.godziny]]&lt;&gt;"",IF(Tabela_kier[[#This Row],[sem10.godziny]]&gt;14,Tabela_kier[[#This Row],[sem10.godziny]]*0.6,Tabela_kier[[#This Row],[sem10.godziny]]),"")</f>
        <v/>
      </c>
      <c r="AL50" s="221" t="str" cm="1">
        <f t="array" ref="AL50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0" s="221" t="str">
        <f>IF(Tabela_kier[[#This Row],[sem10.forma]]&lt;&gt;"",Tabela_kier[[#This Row],[sem10.forma]],"")</f>
        <v/>
      </c>
      <c r="AN50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0" s="389">
        <f>IF(ISERR(SEARCH("UP",Tabela_kier_nst[[#This Row],[Umiej.prakt.]],1)),0,Tabela_kier_nst[[#This Row],[ects.razem]])</f>
        <v>3</v>
      </c>
      <c r="AP50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0" s="391">
        <f>SUM(Tabela_kier_nst[[#This Row],[godziny.samoksztalcenie]],Tabela_kier_nst[[#This Row],[godziny.konsultacja]],Tabela_kier_nst[[#This Row],[godziny.egzamin]],Tabela_kier_nst[[#This Row],[godziny.zajec.razem]])</f>
        <v>52</v>
      </c>
      <c r="AR50" s="392">
        <f>Tabela_kier[[#This Row],[godziny.samoksztalcenie]]+(Tabela_kier[[#This Row],[godziny.zajec.razem]]-Tabela_kier_nst[[#This Row],[godziny.zajec.razem]])</f>
        <v>29</v>
      </c>
      <c r="AS50" s="393">
        <f>Tabela_kier[[#This Row],[godziny.konsultacja]]</f>
        <v>3</v>
      </c>
      <c r="AT50" s="394">
        <f>Tabela_kier[[#This Row],[godziny.egzamin]]</f>
        <v>2</v>
      </c>
      <c r="AU50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0" s="442">
        <f>IF(Tabela_kier_nst[[#This Row],[ects.bezposr.nauczyciel]],Tabela_kier_nst[[#This Row],[ects.bezposr.nauczyciel]]/Tabela_kier_nst[[#This Row],[ects.razem]],0)</f>
        <v>0.33333333333333331</v>
      </c>
      <c r="AW50" s="49"/>
    </row>
    <row r="51" spans="1:49" ht="25.5" customHeight="1" x14ac:dyDescent="0.3">
      <c r="A51" s="207"/>
      <c r="B51" s="443" t="str">
        <f>IF(Tabela_kier[[#This Row],[kod.isced]]&lt;&gt;"",Tabela_kier[[#This Row],[kod.isced]],"")</f>
        <v>0411</v>
      </c>
      <c r="C51" s="437">
        <f>IF(Tabela_kier[[#This Row],[kod.dziedziny]]&lt;&gt;"",Tabela_kier[[#This Row],[kod.dziedziny]],"")</f>
        <v>501</v>
      </c>
      <c r="D51" s="437" t="str">
        <f>IF(Tabela_kier[[#This Row],[Modul]]&lt;&gt;"",Tabela_kier[[#This Row],[Modul]],"")</f>
        <v>kr.04.1</v>
      </c>
      <c r="E51" s="437" t="str">
        <f>IF(Tabela_kier[[#This Row],[Umiej.prakt.]]&lt;&gt;"",Tabela_kier[[#This Row],[Umiej.prakt.]],"")</f>
        <v>up</v>
      </c>
      <c r="F51" s="438" t="str">
        <f>IF(Tabela_kier[[#This Row],[Nazwa przedmiotu]]&lt;&gt;"",Tabela_kier[[#This Row],[Nazwa przedmiotu]],"")</f>
        <v>Podstawy rachunkowości</v>
      </c>
      <c r="G51" s="439" t="str">
        <f>IF(Tabela_kier[[#This Row],[Prowadzacy]]&lt;&gt;"",Tabela_kier[[#This Row],[Prowadzacy]],"")</f>
        <v/>
      </c>
      <c r="H51" s="440" t="str">
        <f>IF(Tabela_kier[[#This Row],[Forma]]&lt;&gt;"",Tabela_kier[[#This Row],[Forma]],"")</f>
        <v>konwersatorium</v>
      </c>
      <c r="I51" s="441" t="str">
        <f>IF(Tabela_kier[[#This Row],[czy.ects]]&lt;&gt;"",Tabela_kier[[#This Row],[czy.ects]],"")</f>
        <v>TAK</v>
      </c>
      <c r="J51" s="356" t="str">
        <f>IF(Tabela_kier[[#This Row],[sem1.godziny]]&lt;&gt;"",IF(Tabela_kier[[#This Row],[sem1.godziny]]&gt;14,Tabela_kier[[#This Row],[sem1.godziny]]*0.6,Tabela_kier[[#This Row],[sem1.godziny]]),"")</f>
        <v/>
      </c>
      <c r="K51" s="356" t="str" cm="1">
        <f t="array" ref="K51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1" s="356" t="str">
        <f>IF(Tabela_kier[[#This Row],[sem1.forma]]&lt;&gt;"",Tabela_kier[[#This Row],[sem1.forma]],"")</f>
        <v/>
      </c>
      <c r="M51" s="357">
        <f>IF(Tabela_kier[[#This Row],[sem2.godziny]]&lt;&gt;"",IF(Tabela_kier[[#This Row],[sem2.godziny]]&gt;14,Tabela_kier[[#This Row],[sem2.godziny]]*0.6,Tabela_kier[[#This Row],[sem2.godziny]]),"")</f>
        <v>18</v>
      </c>
      <c r="N51" s="357">
        <v>3</v>
      </c>
      <c r="O51" s="357" t="str">
        <f>IF(Tabela_kier[[#This Row],[sem2.forma]]&lt;&gt;"",Tabela_kier[[#This Row],[sem2.forma]],"")</f>
        <v>e</v>
      </c>
      <c r="P51" s="358" t="str">
        <f>IF(Tabela_kier[[#This Row],[sem3.godziny]]&lt;&gt;"",IF(Tabela_kier[[#This Row],[sem3.godziny]]&gt;14,Tabela_kier[[#This Row],[sem3.godziny]]*0.6,Tabela_kier[[#This Row],[sem3.godziny]]),"")</f>
        <v/>
      </c>
      <c r="Q51" s="359" t="str" cm="1">
        <f t="array" ref="Q51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51" s="358" t="str">
        <f>IF(Tabela_kier[[#This Row],[sem3.forma]]&lt;&gt;"",Tabela_kier[[#This Row],[sem3.forma]],"")</f>
        <v/>
      </c>
      <c r="S51" s="355" t="str">
        <f>IF(Tabela_kier[[#This Row],[sem4.godziny]]&lt;&gt;"",IF(Tabela_kier[[#This Row],[sem4.godziny]]&gt;14,Tabela_kier[[#This Row],[sem4.godziny]]*0.6,Tabela_kier[[#This Row],[sem4.godziny]]),"")</f>
        <v/>
      </c>
      <c r="T51" s="355" t="str" cm="1">
        <f t="array" ref="T51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1" s="355" t="str">
        <f>IF(Tabela_kier[[#This Row],[sem4.forma]]&lt;&gt;"",Tabela_kier[[#This Row],[sem4.forma]],"")</f>
        <v/>
      </c>
      <c r="V51" s="216" t="str">
        <f>IF(Tabela_kier[[#This Row],[sem5.godziny]]&lt;&gt;"",IF(Tabela_kier[[#This Row],[sem5.godziny]]&gt;14,Tabela_kier[[#This Row],[sem5.godziny]]*0.6,Tabela_kier[[#This Row],[sem5.godziny]]),"")</f>
        <v/>
      </c>
      <c r="W51" s="216" t="str" cm="1">
        <f t="array" ref="W51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1" s="216" t="str">
        <f>IF(Tabela_kier[[#This Row],[sem5.forma]]&lt;&gt;"",Tabela_kier[[#This Row],[sem5.forma]],"")</f>
        <v/>
      </c>
      <c r="Y51" s="217" t="str">
        <f>IF(Tabela_kier[[#This Row],[sem6.godziny]]&lt;&gt;"",IF(Tabela_kier[[#This Row],[sem6.godziny]]&gt;14,Tabela_kier[[#This Row],[sem6.godziny]]*0.6,Tabela_kier[[#This Row],[sem6.godziny]]),"")</f>
        <v/>
      </c>
      <c r="Z51" s="217" t="str" cm="1">
        <f t="array" ref="Z51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1" s="217" t="str">
        <f>IF(Tabela_kier[[#This Row],[sem6.forma]]&lt;&gt;"",Tabela_kier[[#This Row],[sem6.forma]],"")</f>
        <v/>
      </c>
      <c r="AB51" s="218" t="str">
        <f>IF(Tabela_kier[[#This Row],[sem7.godziny]]&lt;&gt;"",IF(Tabela_kier[[#This Row],[sem7.godziny]]&gt;14,Tabela_kier[[#This Row],[sem7.godziny]]*0.6,Tabela_kier[[#This Row],[sem7.godziny]]),"")</f>
        <v/>
      </c>
      <c r="AC51" s="218" t="str" cm="1">
        <f t="array" ref="AC51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1" s="218" t="str">
        <f>IF(Tabela_kier[[#This Row],[sem7.forma]]&lt;&gt;"",Tabela_kier[[#This Row],[sem7.forma]],"")</f>
        <v/>
      </c>
      <c r="AE51" s="219" t="str">
        <f>IF(Tabela_kier[[#This Row],[sem8.godziny]]&lt;&gt;"",IF(Tabela_kier[[#This Row],[sem8.godziny]]&gt;14,Tabela_kier[[#This Row],[sem8.godziny]]*0.6,Tabela_kier[[#This Row],[sem8.godziny]]),"")</f>
        <v/>
      </c>
      <c r="AF51" s="219" t="str" cm="1">
        <f t="array" ref="AF51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1" s="219" t="str">
        <f>IF(Tabela_kier[[#This Row],[sem8.forma]]&lt;&gt;"",Tabela_kier[[#This Row],[sem8.forma]],"")</f>
        <v/>
      </c>
      <c r="AH51" s="220" t="str">
        <f>IF(Tabela_kier[[#This Row],[sem9.godziny]]&lt;&gt;"",IF(Tabela_kier[[#This Row],[sem9.godziny]]&gt;14,Tabela_kier[[#This Row],[sem9.godziny]]*0.6,Tabela_kier[[#This Row],[sem9.godziny]]),"")</f>
        <v/>
      </c>
      <c r="AI51" s="220" t="str" cm="1">
        <f t="array" ref="AI51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1" s="220" t="str">
        <f>IF(Tabela_kier[[#This Row],[sem9.forma]]&lt;&gt;"",Tabela_kier[[#This Row],[sem9.forma]],"")</f>
        <v/>
      </c>
      <c r="AK51" s="221" t="str">
        <f>IF(Tabela_kier[[#This Row],[sem10.godziny]]&lt;&gt;"",IF(Tabela_kier[[#This Row],[sem10.godziny]]&gt;14,Tabela_kier[[#This Row],[sem10.godziny]]*0.6,Tabela_kier[[#This Row],[sem10.godziny]]),"")</f>
        <v/>
      </c>
      <c r="AL51" s="221" t="str" cm="1">
        <f t="array" ref="AL51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1" s="221" t="str">
        <f>IF(Tabela_kier[[#This Row],[sem10.forma]]&lt;&gt;"",Tabela_kier[[#This Row],[sem10.forma]],"")</f>
        <v/>
      </c>
      <c r="AN51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1" s="389">
        <f>IF(ISERR(SEARCH("UP",Tabela_kier_nst[[#This Row],[Umiej.prakt.]],1)),0,Tabela_kier_nst[[#This Row],[ects.razem]])</f>
        <v>3</v>
      </c>
      <c r="AP51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1" s="391">
        <f>SUM(Tabela_kier_nst[[#This Row],[godziny.samoksztalcenie]],Tabela_kier_nst[[#This Row],[godziny.konsultacja]],Tabela_kier_nst[[#This Row],[godziny.egzamin]],Tabela_kier_nst[[#This Row],[godziny.zajec.razem]])</f>
        <v>52</v>
      </c>
      <c r="AR51" s="392">
        <f>Tabela_kier[[#This Row],[godziny.samoksztalcenie]]+(Tabela_kier[[#This Row],[godziny.zajec.razem]]-Tabela_kier_nst[[#This Row],[godziny.zajec.razem]])</f>
        <v>29</v>
      </c>
      <c r="AS51" s="393">
        <f>Tabela_kier[[#This Row],[godziny.konsultacja]]</f>
        <v>3</v>
      </c>
      <c r="AT51" s="394">
        <f>Tabela_kier[[#This Row],[godziny.egzamin]]</f>
        <v>2</v>
      </c>
      <c r="AU51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1" s="442">
        <f>IF(Tabela_kier_nst[[#This Row],[ects.bezposr.nauczyciel]],Tabela_kier_nst[[#This Row],[ects.bezposr.nauczyciel]]/Tabela_kier_nst[[#This Row],[ects.razem]],0)</f>
        <v>0.33333333333333331</v>
      </c>
      <c r="AW51" s="49"/>
    </row>
    <row r="52" spans="1:49" ht="25.5" customHeight="1" x14ac:dyDescent="0.3">
      <c r="A52" s="207"/>
      <c r="B52" s="443" t="str">
        <f>IF(Tabela_kier[[#This Row],[kod.isced]]&lt;&gt;"",Tabela_kier[[#This Row],[kod.isced]],"")</f>
        <v>0411</v>
      </c>
      <c r="C52" s="437">
        <f>IF(Tabela_kier[[#This Row],[kod.dziedziny]]&lt;&gt;"",Tabela_kier[[#This Row],[kod.dziedziny]],"")</f>
        <v>501</v>
      </c>
      <c r="D52" s="437" t="str">
        <f>IF(Tabela_kier[[#This Row],[Modul]]&lt;&gt;"",Tabela_kier[[#This Row],[Modul]],"")</f>
        <v>kr.04.2</v>
      </c>
      <c r="E52" s="437" t="str">
        <f>IF(Tabela_kier[[#This Row],[Umiej.prakt.]]&lt;&gt;"",Tabela_kier[[#This Row],[Umiej.prakt.]],"")</f>
        <v>up</v>
      </c>
      <c r="F52" s="438" t="str">
        <f>IF(Tabela_kier[[#This Row],[Nazwa przedmiotu]]&lt;&gt;"",Tabela_kier[[#This Row],[Nazwa przedmiotu]],"")</f>
        <v>Podstawy rachunkowości</v>
      </c>
      <c r="G52" s="439" t="str">
        <f>IF(Tabela_kier[[#This Row],[Prowadzacy]]&lt;&gt;"",Tabela_kier[[#This Row],[Prowadzacy]],"")</f>
        <v/>
      </c>
      <c r="H52" s="440" t="str">
        <f>IF(Tabela_kier[[#This Row],[Forma]]&lt;&gt;"",Tabela_kier[[#This Row],[Forma]],"")</f>
        <v>ćwiczenia</v>
      </c>
      <c r="I52" s="441" t="str">
        <f>IF(Tabela_kier[[#This Row],[czy.ects]]&lt;&gt;"",Tabela_kier[[#This Row],[czy.ects]],"")</f>
        <v>TAK</v>
      </c>
      <c r="J52" s="356" t="str">
        <f>IF(Tabela_kier[[#This Row],[sem1.godziny]]&lt;&gt;"",IF(Tabela_kier[[#This Row],[sem1.godziny]]&gt;14,Tabela_kier[[#This Row],[sem1.godziny]]*0.6,Tabela_kier[[#This Row],[sem1.godziny]]),"")</f>
        <v/>
      </c>
      <c r="K52" s="356" t="str" cm="1">
        <f t="array" ref="K52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2" s="356" t="str">
        <f>IF(Tabela_kier[[#This Row],[sem1.forma]]&lt;&gt;"",Tabela_kier[[#This Row],[sem1.forma]],"")</f>
        <v/>
      </c>
      <c r="M52" s="357">
        <f>IF(Tabela_kier[[#This Row],[sem2.godziny]]&lt;&gt;"",IF(Tabela_kier[[#This Row],[sem2.godziny]]&gt;14,Tabela_kier[[#This Row],[sem2.godziny]]*0.6,Tabela_kier[[#This Row],[sem2.godziny]]),"")</f>
        <v>18</v>
      </c>
      <c r="N52" s="357">
        <v>3</v>
      </c>
      <c r="O52" s="357" t="str">
        <f>IF(Tabela_kier[[#This Row],[sem2.forma]]&lt;&gt;"",Tabela_kier[[#This Row],[sem2.forma]],"")</f>
        <v>z</v>
      </c>
      <c r="P52" s="358" t="str">
        <f>IF(Tabela_kier[[#This Row],[sem3.godziny]]&lt;&gt;"",IF(Tabela_kier[[#This Row],[sem3.godziny]]&gt;14,Tabela_kier[[#This Row],[sem3.godziny]]*0.6,Tabela_kier[[#This Row],[sem3.godziny]]),"")</f>
        <v/>
      </c>
      <c r="Q52" s="359"/>
      <c r="R52" s="358" t="str">
        <f>IF(Tabela_kier[[#This Row],[sem3.forma]]&lt;&gt;"",Tabela_kier[[#This Row],[sem3.forma]],"")</f>
        <v/>
      </c>
      <c r="S52" s="355" t="str">
        <f>IF(Tabela_kier[[#This Row],[sem4.godziny]]&lt;&gt;"",IF(Tabela_kier[[#This Row],[sem4.godziny]]&gt;14,Tabela_kier[[#This Row],[sem4.godziny]]*0.6,Tabela_kier[[#This Row],[sem4.godziny]]),"")</f>
        <v/>
      </c>
      <c r="T52" s="355" t="str" cm="1">
        <f t="array" ref="T52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2" s="355" t="str">
        <f>IF(Tabela_kier[[#This Row],[sem4.forma]]&lt;&gt;"",Tabela_kier[[#This Row],[sem4.forma]],"")</f>
        <v/>
      </c>
      <c r="V52" s="216" t="str">
        <f>IF(Tabela_kier[[#This Row],[sem5.godziny]]&lt;&gt;"",IF(Tabela_kier[[#This Row],[sem5.godziny]]&gt;14,Tabela_kier[[#This Row],[sem5.godziny]]*0.6,Tabela_kier[[#This Row],[sem5.godziny]]),"")</f>
        <v/>
      </c>
      <c r="W52" s="216" t="str" cm="1">
        <f t="array" ref="W52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2" s="216" t="str">
        <f>IF(Tabela_kier[[#This Row],[sem5.forma]]&lt;&gt;"",Tabela_kier[[#This Row],[sem5.forma]],"")</f>
        <v/>
      </c>
      <c r="Y52" s="217" t="str">
        <f>IF(Tabela_kier[[#This Row],[sem6.godziny]]&lt;&gt;"",IF(Tabela_kier[[#This Row],[sem6.godziny]]&gt;14,Tabela_kier[[#This Row],[sem6.godziny]]*0.6,Tabela_kier[[#This Row],[sem6.godziny]]),"")</f>
        <v/>
      </c>
      <c r="Z52" s="217" t="str" cm="1">
        <f t="array" ref="Z52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2" s="217" t="str">
        <f>IF(Tabela_kier[[#This Row],[sem6.forma]]&lt;&gt;"",Tabela_kier[[#This Row],[sem6.forma]],"")</f>
        <v/>
      </c>
      <c r="AB52" s="218" t="str">
        <f>IF(Tabela_kier[[#This Row],[sem7.godziny]]&lt;&gt;"",IF(Tabela_kier[[#This Row],[sem7.godziny]]&gt;14,Tabela_kier[[#This Row],[sem7.godziny]]*0.6,Tabela_kier[[#This Row],[sem7.godziny]]),"")</f>
        <v/>
      </c>
      <c r="AC52" s="218" t="str" cm="1">
        <f t="array" ref="AC52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2" s="218" t="str">
        <f>IF(Tabela_kier[[#This Row],[sem7.forma]]&lt;&gt;"",Tabela_kier[[#This Row],[sem7.forma]],"")</f>
        <v/>
      </c>
      <c r="AE52" s="219" t="str">
        <f>IF(Tabela_kier[[#This Row],[sem8.godziny]]&lt;&gt;"",IF(Tabela_kier[[#This Row],[sem8.godziny]]&gt;14,Tabela_kier[[#This Row],[sem8.godziny]]*0.6,Tabela_kier[[#This Row],[sem8.godziny]]),"")</f>
        <v/>
      </c>
      <c r="AF52" s="219" t="str" cm="1">
        <f t="array" ref="AF52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2" s="219" t="str">
        <f>IF(Tabela_kier[[#This Row],[sem8.forma]]&lt;&gt;"",Tabela_kier[[#This Row],[sem8.forma]],"")</f>
        <v/>
      </c>
      <c r="AH52" s="220" t="str">
        <f>IF(Tabela_kier[[#This Row],[sem9.godziny]]&lt;&gt;"",IF(Tabela_kier[[#This Row],[sem9.godziny]]&gt;14,Tabela_kier[[#This Row],[sem9.godziny]]*0.6,Tabela_kier[[#This Row],[sem9.godziny]]),"")</f>
        <v/>
      </c>
      <c r="AI52" s="220" t="str" cm="1">
        <f t="array" ref="AI52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2" s="220" t="str">
        <f>IF(Tabela_kier[[#This Row],[sem9.forma]]&lt;&gt;"",Tabela_kier[[#This Row],[sem9.forma]],"")</f>
        <v/>
      </c>
      <c r="AK52" s="221" t="str">
        <f>IF(Tabela_kier[[#This Row],[sem10.godziny]]&lt;&gt;"",IF(Tabela_kier[[#This Row],[sem10.godziny]]&gt;14,Tabela_kier[[#This Row],[sem10.godziny]]*0.6,Tabela_kier[[#This Row],[sem10.godziny]]),"")</f>
        <v/>
      </c>
      <c r="AL52" s="221" t="str" cm="1">
        <f t="array" ref="AL52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2" s="221" t="str">
        <f>IF(Tabela_kier[[#This Row],[sem10.forma]]&lt;&gt;"",Tabela_kier[[#This Row],[sem10.forma]],"")</f>
        <v/>
      </c>
      <c r="AN52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2" s="389">
        <f>IF(ISERR(SEARCH("UP",Tabela_kier_nst[[#This Row],[Umiej.prakt.]],1)),0,Tabela_kier_nst[[#This Row],[ects.razem]])</f>
        <v>3</v>
      </c>
      <c r="AP52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2" s="391">
        <f>SUM(Tabela_kier_nst[[#This Row],[godziny.samoksztalcenie]],Tabela_kier_nst[[#This Row],[godziny.konsultacja]],Tabela_kier_nst[[#This Row],[godziny.egzamin]],Tabela_kier_nst[[#This Row],[godziny.zajec.razem]])</f>
        <v>52</v>
      </c>
      <c r="AR52" s="392">
        <f>Tabela_kier[[#This Row],[godziny.samoksztalcenie]]+(Tabela_kier[[#This Row],[godziny.zajec.razem]]-Tabela_kier_nst[[#This Row],[godziny.zajec.razem]])</f>
        <v>29</v>
      </c>
      <c r="AS52" s="393">
        <f>Tabela_kier[[#This Row],[godziny.konsultacja]]</f>
        <v>3</v>
      </c>
      <c r="AT52" s="394">
        <f>Tabela_kier[[#This Row],[godziny.egzamin]]</f>
        <v>2</v>
      </c>
      <c r="AU52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2" s="442">
        <f>IF(Tabela_kier_nst[[#This Row],[ects.bezposr.nauczyciel]],Tabela_kier_nst[[#This Row],[ects.bezposr.nauczyciel]]/Tabela_kier_nst[[#This Row],[ects.razem]],0)</f>
        <v>0.33333333333333331</v>
      </c>
      <c r="AW52" s="49"/>
    </row>
    <row r="53" spans="1:49" ht="25.5" customHeight="1" x14ac:dyDescent="0.3">
      <c r="A53" s="207"/>
      <c r="B53" s="443" t="str">
        <f>IF(Tabela_kier[[#This Row],[kod.isced]]&lt;&gt;"",Tabela_kier[[#This Row],[kod.isced]],"")</f>
        <v>0412</v>
      </c>
      <c r="C53" s="437">
        <f>IF(Tabela_kier[[#This Row],[kod.dziedziny]]&lt;&gt;"",Tabela_kier[[#This Row],[kod.dziedziny]],"")</f>
        <v>501</v>
      </c>
      <c r="D53" s="437" t="str">
        <f>IF(Tabela_kier[[#This Row],[Modul]]&lt;&gt;"",Tabela_kier[[#This Row],[Modul]],"")</f>
        <v>kr.05.1</v>
      </c>
      <c r="E53" s="437" t="str">
        <f>IF(Tabela_kier[[#This Row],[Umiej.prakt.]]&lt;&gt;"",Tabela_kier[[#This Row],[Umiej.prakt.]],"")</f>
        <v/>
      </c>
      <c r="F53" s="438" t="str">
        <f>IF(Tabela_kier[[#This Row],[Nazwa przedmiotu]]&lt;&gt;"",Tabela_kier[[#This Row],[Nazwa przedmiotu]],"")</f>
        <v>Bankowość</v>
      </c>
      <c r="G53" s="439" t="str">
        <f>IF(Tabela_kier[[#This Row],[Prowadzacy]]&lt;&gt;"",Tabela_kier[[#This Row],[Prowadzacy]],"")</f>
        <v/>
      </c>
      <c r="H53" s="440" t="str">
        <f>IF(Tabela_kier[[#This Row],[Forma]]&lt;&gt;"",Tabela_kier[[#This Row],[Forma]],"")</f>
        <v>konwersatorium</v>
      </c>
      <c r="I53" s="441" t="str">
        <f>IF(Tabela_kier[[#This Row],[czy.ects]]&lt;&gt;"",Tabela_kier[[#This Row],[czy.ects]],"")</f>
        <v>TAK</v>
      </c>
      <c r="J53" s="356" t="str">
        <f>IF(Tabela_kier[[#This Row],[sem1.godziny]]&lt;&gt;"",IF(Tabela_kier[[#This Row],[sem1.godziny]]&gt;14,Tabela_kier[[#This Row],[sem1.godziny]]*0.6,Tabela_kier[[#This Row],[sem1.godziny]]),"")</f>
        <v/>
      </c>
      <c r="K53" s="356" t="str" cm="1">
        <f t="array" ref="K53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3" s="356" t="str">
        <f>IF(Tabela_kier[[#This Row],[sem1.forma]]&lt;&gt;"",Tabela_kier[[#This Row],[sem1.forma]],"")</f>
        <v/>
      </c>
      <c r="M53" s="357">
        <f>IF(Tabela_kier[[#This Row],[sem2.godziny]]&lt;&gt;"",IF(Tabela_kier[[#This Row],[sem2.godziny]]&gt;14,Tabela_kier[[#This Row],[sem2.godziny]]*0.6,Tabela_kier[[#This Row],[sem2.godziny]]),"")</f>
        <v>18</v>
      </c>
      <c r="N53" s="357">
        <v>3</v>
      </c>
      <c r="O53" s="357" t="str">
        <f>IF(Tabela_kier[[#This Row],[sem2.forma]]&lt;&gt;"",Tabela_kier[[#This Row],[sem2.forma]],"")</f>
        <v>z</v>
      </c>
      <c r="P53" s="358" t="str">
        <f>IF(Tabela_kier[[#This Row],[sem3.godziny]]&lt;&gt;"",IF(Tabela_kier[[#This Row],[sem3.godziny]]&gt;14,Tabela_kier[[#This Row],[sem3.godziny]]*0.6,Tabela_kier[[#This Row],[sem3.godziny]]),"")</f>
        <v/>
      </c>
      <c r="Q53" s="359"/>
      <c r="R53" s="358" t="str">
        <f>IF(Tabela_kier[[#This Row],[sem3.forma]]&lt;&gt;"",Tabela_kier[[#This Row],[sem3.forma]],"")</f>
        <v/>
      </c>
      <c r="S53" s="355" t="str">
        <f>IF(Tabela_kier[[#This Row],[sem4.godziny]]&lt;&gt;"",IF(Tabela_kier[[#This Row],[sem4.godziny]]&gt;14,Tabela_kier[[#This Row],[sem4.godziny]]*0.6,Tabela_kier[[#This Row],[sem4.godziny]]),"")</f>
        <v/>
      </c>
      <c r="T53" s="355" t="str" cm="1">
        <f t="array" ref="T53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3" s="355" t="str">
        <f>IF(Tabela_kier[[#This Row],[sem4.forma]]&lt;&gt;"",Tabela_kier[[#This Row],[sem4.forma]],"")</f>
        <v/>
      </c>
      <c r="V53" s="216" t="str">
        <f>IF(Tabela_kier[[#This Row],[sem5.godziny]]&lt;&gt;"",IF(Tabela_kier[[#This Row],[sem5.godziny]]&gt;14,Tabela_kier[[#This Row],[sem5.godziny]]*0.6,Tabela_kier[[#This Row],[sem5.godziny]]),"")</f>
        <v/>
      </c>
      <c r="W53" s="216" t="str" cm="1">
        <f t="array" ref="W53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3" s="216" t="str">
        <f>IF(Tabela_kier[[#This Row],[sem5.forma]]&lt;&gt;"",Tabela_kier[[#This Row],[sem5.forma]],"")</f>
        <v/>
      </c>
      <c r="Y53" s="217" t="str">
        <f>IF(Tabela_kier[[#This Row],[sem6.godziny]]&lt;&gt;"",IF(Tabela_kier[[#This Row],[sem6.godziny]]&gt;14,Tabela_kier[[#This Row],[sem6.godziny]]*0.6,Tabela_kier[[#This Row],[sem6.godziny]]),"")</f>
        <v/>
      </c>
      <c r="Z53" s="217" t="str" cm="1">
        <f t="array" ref="Z53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3" s="217" t="str">
        <f>IF(Tabela_kier[[#This Row],[sem6.forma]]&lt;&gt;"",Tabela_kier[[#This Row],[sem6.forma]],"")</f>
        <v/>
      </c>
      <c r="AB53" s="218" t="str">
        <f>IF(Tabela_kier[[#This Row],[sem7.godziny]]&lt;&gt;"",IF(Tabela_kier[[#This Row],[sem7.godziny]]&gt;14,Tabela_kier[[#This Row],[sem7.godziny]]*0.6,Tabela_kier[[#This Row],[sem7.godziny]]),"")</f>
        <v/>
      </c>
      <c r="AC53" s="218" t="str" cm="1">
        <f t="array" ref="AC53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3" s="218" t="str">
        <f>IF(Tabela_kier[[#This Row],[sem7.forma]]&lt;&gt;"",Tabela_kier[[#This Row],[sem7.forma]],"")</f>
        <v/>
      </c>
      <c r="AE53" s="219" t="str">
        <f>IF(Tabela_kier[[#This Row],[sem8.godziny]]&lt;&gt;"",IF(Tabela_kier[[#This Row],[sem8.godziny]]&gt;14,Tabela_kier[[#This Row],[sem8.godziny]]*0.6,Tabela_kier[[#This Row],[sem8.godziny]]),"")</f>
        <v/>
      </c>
      <c r="AF53" s="219" t="str" cm="1">
        <f t="array" ref="AF53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3" s="219" t="str">
        <f>IF(Tabela_kier[[#This Row],[sem8.forma]]&lt;&gt;"",Tabela_kier[[#This Row],[sem8.forma]],"")</f>
        <v/>
      </c>
      <c r="AH53" s="220" t="str">
        <f>IF(Tabela_kier[[#This Row],[sem9.godziny]]&lt;&gt;"",IF(Tabela_kier[[#This Row],[sem9.godziny]]&gt;14,Tabela_kier[[#This Row],[sem9.godziny]]*0.6,Tabela_kier[[#This Row],[sem9.godziny]]),"")</f>
        <v/>
      </c>
      <c r="AI53" s="220" t="str" cm="1">
        <f t="array" ref="AI53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3" s="220" t="str">
        <f>IF(Tabela_kier[[#This Row],[sem9.forma]]&lt;&gt;"",Tabela_kier[[#This Row],[sem9.forma]],"")</f>
        <v/>
      </c>
      <c r="AK53" s="221" t="str">
        <f>IF(Tabela_kier[[#This Row],[sem10.godziny]]&lt;&gt;"",IF(Tabela_kier[[#This Row],[sem10.godziny]]&gt;14,Tabela_kier[[#This Row],[sem10.godziny]]*0.6,Tabela_kier[[#This Row],[sem10.godziny]]),"")</f>
        <v/>
      </c>
      <c r="AL53" s="221" t="str" cm="1">
        <f t="array" ref="AL53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3" s="221" t="str">
        <f>IF(Tabela_kier[[#This Row],[sem10.forma]]&lt;&gt;"",Tabela_kier[[#This Row],[sem10.forma]],"")</f>
        <v/>
      </c>
      <c r="AN53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3" s="389">
        <f>IF(ISERR(SEARCH("UP",Tabela_kier_nst[[#This Row],[Umiej.prakt.]],1)),0,Tabela_kier_nst[[#This Row],[ects.razem]])</f>
        <v>0</v>
      </c>
      <c r="AP53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3" s="391">
        <f>SUM(Tabela_kier_nst[[#This Row],[godziny.samoksztalcenie]],Tabela_kier_nst[[#This Row],[godziny.konsultacja]],Tabela_kier_nst[[#This Row],[godziny.egzamin]],Tabela_kier_nst[[#This Row],[godziny.zajec.razem]])</f>
        <v>52</v>
      </c>
      <c r="AR53" s="392">
        <f>Tabela_kier[[#This Row],[godziny.samoksztalcenie]]+(Tabela_kier[[#This Row],[godziny.zajec.razem]]-Tabela_kier_nst[[#This Row],[godziny.zajec.razem]])</f>
        <v>29</v>
      </c>
      <c r="AS53" s="393">
        <f>Tabela_kier[[#This Row],[godziny.konsultacja]]</f>
        <v>3</v>
      </c>
      <c r="AT53" s="394">
        <f>Tabela_kier[[#This Row],[godziny.egzamin]]</f>
        <v>2</v>
      </c>
      <c r="AU53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3" s="442">
        <f>IF(Tabela_kier_nst[[#This Row],[ects.bezposr.nauczyciel]],Tabela_kier_nst[[#This Row],[ects.bezposr.nauczyciel]]/Tabela_kier_nst[[#This Row],[ects.razem]],0)</f>
        <v>0.33333333333333331</v>
      </c>
      <c r="AW53" s="49"/>
    </row>
    <row r="54" spans="1:49" ht="25.5" customHeight="1" x14ac:dyDescent="0.3">
      <c r="A54" s="207"/>
      <c r="B54" s="443" t="str">
        <f>IF(Tabela_kier[[#This Row],[kod.isced]]&lt;&gt;"",Tabela_kier[[#This Row],[kod.isced]],"")</f>
        <v>0412</v>
      </c>
      <c r="C54" s="437">
        <f>IF(Tabela_kier[[#This Row],[kod.dziedziny]]&lt;&gt;"",Tabela_kier[[#This Row],[kod.dziedziny]],"")</f>
        <v>501</v>
      </c>
      <c r="D54" s="437" t="str">
        <f>IF(Tabela_kier[[#This Row],[Modul]]&lt;&gt;"",Tabela_kier[[#This Row],[Modul]],"")</f>
        <v>kr.06.1</v>
      </c>
      <c r="E54" s="437" t="str">
        <f>IF(Tabela_kier[[#This Row],[Umiej.prakt.]]&lt;&gt;"",Tabela_kier[[#This Row],[Umiej.prakt.]],"")</f>
        <v/>
      </c>
      <c r="F54" s="438" t="str">
        <f>IF(Tabela_kier[[#This Row],[Nazwa przedmiotu]]&lt;&gt;"",Tabela_kier[[#This Row],[Nazwa przedmiotu]],"")</f>
        <v>Finanse instytucji rządowych i samorządowych</v>
      </c>
      <c r="G54" s="439" t="str">
        <f>IF(Tabela_kier[[#This Row],[Prowadzacy]]&lt;&gt;"",Tabela_kier[[#This Row],[Prowadzacy]],"")</f>
        <v/>
      </c>
      <c r="H54" s="440" t="str">
        <f>IF(Tabela_kier[[#This Row],[Forma]]&lt;&gt;"",Tabela_kier[[#This Row],[Forma]],"")</f>
        <v>konwersatorium</v>
      </c>
      <c r="I54" s="441" t="str">
        <f>IF(Tabela_kier[[#This Row],[czy.ects]]&lt;&gt;"",Tabela_kier[[#This Row],[czy.ects]],"")</f>
        <v>TAK</v>
      </c>
      <c r="J54" s="356" t="str">
        <f>IF(Tabela_kier[[#This Row],[sem1.godziny]]&lt;&gt;"",IF(Tabela_kier[[#This Row],[sem1.godziny]]&gt;14,Tabela_kier[[#This Row],[sem1.godziny]]*0.6,Tabela_kier[[#This Row],[sem1.godziny]]),"")</f>
        <v/>
      </c>
      <c r="K54" s="356" t="str" cm="1">
        <f t="array" ref="K54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4" s="356" t="str">
        <f>IF(Tabela_kier[[#This Row],[sem1.forma]]&lt;&gt;"",Tabela_kier[[#This Row],[sem1.forma]],"")</f>
        <v/>
      </c>
      <c r="M54" s="357" t="str">
        <f>IF(Tabela_kier[[#This Row],[sem2.godziny]]&lt;&gt;"",IF(Tabela_kier[[#This Row],[sem2.godziny]]&gt;14,Tabela_kier[[#This Row],[sem2.godziny]]*0.6,Tabela_kier[[#This Row],[sem2.godziny]]),"")</f>
        <v/>
      </c>
      <c r="N54" s="357" t="str" cm="1">
        <f t="array" ref="N54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54" s="357" t="str">
        <f>IF(Tabela_kier[[#This Row],[sem2.forma]]&lt;&gt;"",Tabela_kier[[#This Row],[sem2.forma]],"")</f>
        <v/>
      </c>
      <c r="P54" s="358">
        <f>IF(Tabela_kier[[#This Row],[sem3.godziny]]&lt;&gt;"",IF(Tabela_kier[[#This Row],[sem3.godziny]]&gt;14,Tabela_kier[[#This Row],[sem3.godziny]]*0.6,Tabela_kier[[#This Row],[sem3.godziny]]),"")</f>
        <v>18</v>
      </c>
      <c r="Q54" s="359">
        <v>3</v>
      </c>
      <c r="R54" s="358" t="str">
        <f>IF(Tabela_kier[[#This Row],[sem3.forma]]&lt;&gt;"",Tabela_kier[[#This Row],[sem3.forma]],"")</f>
        <v>e</v>
      </c>
      <c r="S54" s="355" t="str">
        <f>IF(Tabela_kier[[#This Row],[sem4.godziny]]&lt;&gt;"",IF(Tabela_kier[[#This Row],[sem4.godziny]]&gt;14,Tabela_kier[[#This Row],[sem4.godziny]]*0.6,Tabela_kier[[#This Row],[sem4.godziny]]),"")</f>
        <v/>
      </c>
      <c r="T54" s="355" t="str" cm="1">
        <f t="array" ref="T54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4" s="355" t="str">
        <f>IF(Tabela_kier[[#This Row],[sem4.forma]]&lt;&gt;"",Tabela_kier[[#This Row],[sem4.forma]],"")</f>
        <v/>
      </c>
      <c r="V54" s="216" t="str">
        <f>IF(Tabela_kier[[#This Row],[sem5.godziny]]&lt;&gt;"",IF(Tabela_kier[[#This Row],[sem5.godziny]]&gt;14,Tabela_kier[[#This Row],[sem5.godziny]]*0.6,Tabela_kier[[#This Row],[sem5.godziny]]),"")</f>
        <v/>
      </c>
      <c r="W54" s="216" t="str" cm="1">
        <f t="array" ref="W54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4" s="216" t="str">
        <f>IF(Tabela_kier[[#This Row],[sem5.forma]]&lt;&gt;"",Tabela_kier[[#This Row],[sem5.forma]],"")</f>
        <v/>
      </c>
      <c r="Y54" s="217" t="str">
        <f>IF(Tabela_kier[[#This Row],[sem6.godziny]]&lt;&gt;"",IF(Tabela_kier[[#This Row],[sem6.godziny]]&gt;14,Tabela_kier[[#This Row],[sem6.godziny]]*0.6,Tabela_kier[[#This Row],[sem6.godziny]]),"")</f>
        <v/>
      </c>
      <c r="Z54" s="217" t="str" cm="1">
        <f t="array" ref="Z54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4" s="217" t="str">
        <f>IF(Tabela_kier[[#This Row],[sem6.forma]]&lt;&gt;"",Tabela_kier[[#This Row],[sem6.forma]],"")</f>
        <v/>
      </c>
      <c r="AB54" s="218" t="str">
        <f>IF(Tabela_kier[[#This Row],[sem7.godziny]]&lt;&gt;"",IF(Tabela_kier[[#This Row],[sem7.godziny]]&gt;14,Tabela_kier[[#This Row],[sem7.godziny]]*0.6,Tabela_kier[[#This Row],[sem7.godziny]]),"")</f>
        <v/>
      </c>
      <c r="AC54" s="218" t="str" cm="1">
        <f t="array" ref="AC54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4" s="218" t="str">
        <f>IF(Tabela_kier[[#This Row],[sem7.forma]]&lt;&gt;"",Tabela_kier[[#This Row],[sem7.forma]],"")</f>
        <v/>
      </c>
      <c r="AE54" s="219" t="str">
        <f>IF(Tabela_kier[[#This Row],[sem8.godziny]]&lt;&gt;"",IF(Tabela_kier[[#This Row],[sem8.godziny]]&gt;14,Tabela_kier[[#This Row],[sem8.godziny]]*0.6,Tabela_kier[[#This Row],[sem8.godziny]]),"")</f>
        <v/>
      </c>
      <c r="AF54" s="219" t="str" cm="1">
        <f t="array" ref="AF54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4" s="219" t="str">
        <f>IF(Tabela_kier[[#This Row],[sem8.forma]]&lt;&gt;"",Tabela_kier[[#This Row],[sem8.forma]],"")</f>
        <v/>
      </c>
      <c r="AH54" s="220" t="str">
        <f>IF(Tabela_kier[[#This Row],[sem9.godziny]]&lt;&gt;"",IF(Tabela_kier[[#This Row],[sem9.godziny]]&gt;14,Tabela_kier[[#This Row],[sem9.godziny]]*0.6,Tabela_kier[[#This Row],[sem9.godziny]]),"")</f>
        <v/>
      </c>
      <c r="AI54" s="220" t="str" cm="1">
        <f t="array" ref="AI54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4" s="220" t="str">
        <f>IF(Tabela_kier[[#This Row],[sem9.forma]]&lt;&gt;"",Tabela_kier[[#This Row],[sem9.forma]],"")</f>
        <v/>
      </c>
      <c r="AK54" s="221" t="str">
        <f>IF(Tabela_kier[[#This Row],[sem10.godziny]]&lt;&gt;"",IF(Tabela_kier[[#This Row],[sem10.godziny]]&gt;14,Tabela_kier[[#This Row],[sem10.godziny]]*0.6,Tabela_kier[[#This Row],[sem10.godziny]]),"")</f>
        <v/>
      </c>
      <c r="AL54" s="221" t="str" cm="1">
        <f t="array" ref="AL54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4" s="221" t="str">
        <f>IF(Tabela_kier[[#This Row],[sem10.forma]]&lt;&gt;"",Tabela_kier[[#This Row],[sem10.forma]],"")</f>
        <v/>
      </c>
      <c r="AN54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4" s="389">
        <f>IF(ISERR(SEARCH("UP",Tabela_kier_nst[[#This Row],[Umiej.prakt.]],1)),0,Tabela_kier_nst[[#This Row],[ects.razem]])</f>
        <v>0</v>
      </c>
      <c r="AP54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4" s="391">
        <f>SUM(Tabela_kier_nst[[#This Row],[godziny.samoksztalcenie]],Tabela_kier_nst[[#This Row],[godziny.konsultacja]],Tabela_kier_nst[[#This Row],[godziny.egzamin]],Tabela_kier_nst[[#This Row],[godziny.zajec.razem]])</f>
        <v>52</v>
      </c>
      <c r="AR54" s="392">
        <f>Tabela_kier[[#This Row],[godziny.samoksztalcenie]]+(Tabela_kier[[#This Row],[godziny.zajec.razem]]-Tabela_kier_nst[[#This Row],[godziny.zajec.razem]])</f>
        <v>29</v>
      </c>
      <c r="AS54" s="393">
        <f>Tabela_kier[[#This Row],[godziny.konsultacja]]</f>
        <v>3</v>
      </c>
      <c r="AT54" s="394">
        <f>Tabela_kier[[#This Row],[godziny.egzamin]]</f>
        <v>2</v>
      </c>
      <c r="AU54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4" s="442">
        <f>IF(Tabela_kier_nst[[#This Row],[ects.bezposr.nauczyciel]],Tabela_kier_nst[[#This Row],[ects.bezposr.nauczyciel]]/Tabela_kier_nst[[#This Row],[ects.razem]],0)</f>
        <v>0.33333333333333331</v>
      </c>
      <c r="AW54" s="49"/>
    </row>
    <row r="55" spans="1:49" ht="25.5" customHeight="1" x14ac:dyDescent="0.3">
      <c r="A55" s="207"/>
      <c r="B55" s="443" t="str">
        <f>IF(Tabela_kier[[#This Row],[kod.isced]]&lt;&gt;"",Tabela_kier[[#This Row],[kod.isced]],"")</f>
        <v>0412</v>
      </c>
      <c r="C55" s="437">
        <f>IF(Tabela_kier[[#This Row],[kod.dziedziny]]&lt;&gt;"",Tabela_kier[[#This Row],[kod.dziedziny]],"")</f>
        <v>501</v>
      </c>
      <c r="D55" s="437" t="str">
        <f>IF(Tabela_kier[[#This Row],[Modul]]&lt;&gt;"",Tabela_kier[[#This Row],[Modul]],"")</f>
        <v>kr.06.2</v>
      </c>
      <c r="E55" s="437" t="str">
        <f>IF(Tabela_kier[[#This Row],[Umiej.prakt.]]&lt;&gt;"",Tabela_kier[[#This Row],[Umiej.prakt.]],"")</f>
        <v/>
      </c>
      <c r="F55" s="438" t="str">
        <f>IF(Tabela_kier[[#This Row],[Nazwa przedmiotu]]&lt;&gt;"",Tabela_kier[[#This Row],[Nazwa przedmiotu]],"")</f>
        <v>Finanse instytucji rządowych i samorządowych</v>
      </c>
      <c r="G55" s="439" t="str">
        <f>IF(Tabela_kier[[#This Row],[Prowadzacy]]&lt;&gt;"",Tabela_kier[[#This Row],[Prowadzacy]],"")</f>
        <v/>
      </c>
      <c r="H55" s="440" t="str">
        <f>IF(Tabela_kier[[#This Row],[Forma]]&lt;&gt;"",Tabela_kier[[#This Row],[Forma]],"")</f>
        <v>ćwiczenia</v>
      </c>
      <c r="I55" s="441" t="str">
        <f>IF(Tabela_kier[[#This Row],[czy.ects]]&lt;&gt;"",Tabela_kier[[#This Row],[czy.ects]],"")</f>
        <v>TAK</v>
      </c>
      <c r="J55" s="356" t="str">
        <f>IF(Tabela_kier[[#This Row],[sem1.godziny]]&lt;&gt;"",IF(Tabela_kier[[#This Row],[sem1.godziny]]&gt;14,Tabela_kier[[#This Row],[sem1.godziny]]*0.6,Tabela_kier[[#This Row],[sem1.godziny]]),"")</f>
        <v/>
      </c>
      <c r="K55" s="356" t="str" cm="1">
        <f t="array" ref="K55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5" s="356" t="str">
        <f>IF(Tabela_kier[[#This Row],[sem1.forma]]&lt;&gt;"",Tabela_kier[[#This Row],[sem1.forma]],"")</f>
        <v/>
      </c>
      <c r="M55" s="357" t="str">
        <f>IF(Tabela_kier[[#This Row],[sem2.godziny]]&lt;&gt;"",IF(Tabela_kier[[#This Row],[sem2.godziny]]&gt;14,Tabela_kier[[#This Row],[sem2.godziny]]*0.6,Tabela_kier[[#This Row],[sem2.godziny]]),"")</f>
        <v/>
      </c>
      <c r="N55" s="357" t="str" cm="1">
        <f t="array" ref="N55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55" s="357" t="str">
        <f>IF(Tabela_kier[[#This Row],[sem2.forma]]&lt;&gt;"",Tabela_kier[[#This Row],[sem2.forma]],"")</f>
        <v/>
      </c>
      <c r="P55" s="358">
        <f>IF(Tabela_kier[[#This Row],[sem3.godziny]]&lt;&gt;"",IF(Tabela_kier[[#This Row],[sem3.godziny]]&gt;14,Tabela_kier[[#This Row],[sem3.godziny]]*0.6,Tabela_kier[[#This Row],[sem3.godziny]]),"")</f>
        <v>18</v>
      </c>
      <c r="Q55" s="359">
        <v>3</v>
      </c>
      <c r="R55" s="358" t="str">
        <f>IF(Tabela_kier[[#This Row],[sem3.forma]]&lt;&gt;"",Tabela_kier[[#This Row],[sem3.forma]],"")</f>
        <v>z</v>
      </c>
      <c r="S55" s="355" t="str">
        <f>IF(Tabela_kier[[#This Row],[sem4.godziny]]&lt;&gt;"",IF(Tabela_kier[[#This Row],[sem4.godziny]]&gt;14,Tabela_kier[[#This Row],[sem4.godziny]]*0.6,Tabela_kier[[#This Row],[sem4.godziny]]),"")</f>
        <v/>
      </c>
      <c r="T55" s="355" t="str" cm="1">
        <f t="array" ref="T55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5" s="355" t="str">
        <f>IF(Tabela_kier[[#This Row],[sem4.forma]]&lt;&gt;"",Tabela_kier[[#This Row],[sem4.forma]],"")</f>
        <v/>
      </c>
      <c r="V55" s="216" t="str">
        <f>IF(Tabela_kier[[#This Row],[sem5.godziny]]&lt;&gt;"",IF(Tabela_kier[[#This Row],[sem5.godziny]]&gt;14,Tabela_kier[[#This Row],[sem5.godziny]]*0.6,Tabela_kier[[#This Row],[sem5.godziny]]),"")</f>
        <v/>
      </c>
      <c r="W55" s="216" t="str" cm="1">
        <f t="array" ref="W55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5" s="216" t="str">
        <f>IF(Tabela_kier[[#This Row],[sem5.forma]]&lt;&gt;"",Tabela_kier[[#This Row],[sem5.forma]],"")</f>
        <v/>
      </c>
      <c r="Y55" s="217" t="str">
        <f>IF(Tabela_kier[[#This Row],[sem6.godziny]]&lt;&gt;"",IF(Tabela_kier[[#This Row],[sem6.godziny]]&gt;14,Tabela_kier[[#This Row],[sem6.godziny]]*0.6,Tabela_kier[[#This Row],[sem6.godziny]]),"")</f>
        <v/>
      </c>
      <c r="Z55" s="217" t="str" cm="1">
        <f t="array" ref="Z55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5" s="217" t="str">
        <f>IF(Tabela_kier[[#This Row],[sem6.forma]]&lt;&gt;"",Tabela_kier[[#This Row],[sem6.forma]],"")</f>
        <v/>
      </c>
      <c r="AB55" s="218" t="str">
        <f>IF(Tabela_kier[[#This Row],[sem7.godziny]]&lt;&gt;"",IF(Tabela_kier[[#This Row],[sem7.godziny]]&gt;14,Tabela_kier[[#This Row],[sem7.godziny]]*0.6,Tabela_kier[[#This Row],[sem7.godziny]]),"")</f>
        <v/>
      </c>
      <c r="AC55" s="218" t="str" cm="1">
        <f t="array" ref="AC55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5" s="218" t="str">
        <f>IF(Tabela_kier[[#This Row],[sem7.forma]]&lt;&gt;"",Tabela_kier[[#This Row],[sem7.forma]],"")</f>
        <v/>
      </c>
      <c r="AE55" s="219" t="str">
        <f>IF(Tabela_kier[[#This Row],[sem8.godziny]]&lt;&gt;"",IF(Tabela_kier[[#This Row],[sem8.godziny]]&gt;14,Tabela_kier[[#This Row],[sem8.godziny]]*0.6,Tabela_kier[[#This Row],[sem8.godziny]]),"")</f>
        <v/>
      </c>
      <c r="AF55" s="219" t="str" cm="1">
        <f t="array" ref="AF55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5" s="219" t="str">
        <f>IF(Tabela_kier[[#This Row],[sem8.forma]]&lt;&gt;"",Tabela_kier[[#This Row],[sem8.forma]],"")</f>
        <v/>
      </c>
      <c r="AH55" s="220" t="str">
        <f>IF(Tabela_kier[[#This Row],[sem9.godziny]]&lt;&gt;"",IF(Tabela_kier[[#This Row],[sem9.godziny]]&gt;14,Tabela_kier[[#This Row],[sem9.godziny]]*0.6,Tabela_kier[[#This Row],[sem9.godziny]]),"")</f>
        <v/>
      </c>
      <c r="AI55" s="220" t="str" cm="1">
        <f t="array" ref="AI55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5" s="220" t="str">
        <f>IF(Tabela_kier[[#This Row],[sem9.forma]]&lt;&gt;"",Tabela_kier[[#This Row],[sem9.forma]],"")</f>
        <v/>
      </c>
      <c r="AK55" s="221" t="str">
        <f>IF(Tabela_kier[[#This Row],[sem10.godziny]]&lt;&gt;"",IF(Tabela_kier[[#This Row],[sem10.godziny]]&gt;14,Tabela_kier[[#This Row],[sem10.godziny]]*0.6,Tabela_kier[[#This Row],[sem10.godziny]]),"")</f>
        <v/>
      </c>
      <c r="AL55" s="221" t="str" cm="1">
        <f t="array" ref="AL55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5" s="221" t="str">
        <f>IF(Tabela_kier[[#This Row],[sem10.forma]]&lt;&gt;"",Tabela_kier[[#This Row],[sem10.forma]],"")</f>
        <v/>
      </c>
      <c r="AN55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5" s="389">
        <f>IF(ISERR(SEARCH("UP",Tabela_kier_nst[[#This Row],[Umiej.prakt.]],1)),0,Tabela_kier_nst[[#This Row],[ects.razem]])</f>
        <v>0</v>
      </c>
      <c r="AP55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5" s="391">
        <f>SUM(Tabela_kier_nst[[#This Row],[godziny.samoksztalcenie]],Tabela_kier_nst[[#This Row],[godziny.konsultacja]],Tabela_kier_nst[[#This Row],[godziny.egzamin]],Tabela_kier_nst[[#This Row],[godziny.zajec.razem]])</f>
        <v>52</v>
      </c>
      <c r="AR55" s="392">
        <f>Tabela_kier[[#This Row],[godziny.samoksztalcenie]]+(Tabela_kier[[#This Row],[godziny.zajec.razem]]-Tabela_kier_nst[[#This Row],[godziny.zajec.razem]])</f>
        <v>29</v>
      </c>
      <c r="AS55" s="393">
        <f>Tabela_kier[[#This Row],[godziny.konsultacja]]</f>
        <v>3</v>
      </c>
      <c r="AT55" s="394">
        <f>Tabela_kier[[#This Row],[godziny.egzamin]]</f>
        <v>2</v>
      </c>
      <c r="AU55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5" s="442">
        <f>IF(Tabela_kier_nst[[#This Row],[ects.bezposr.nauczyciel]],Tabela_kier_nst[[#This Row],[ects.bezposr.nauczyciel]]/Tabela_kier_nst[[#This Row],[ects.razem]],0)</f>
        <v>0.33333333333333331</v>
      </c>
      <c r="AW55" s="49"/>
    </row>
    <row r="56" spans="1:49" ht="25.5" customHeight="1" x14ac:dyDescent="0.3">
      <c r="A56" s="207"/>
      <c r="B56" s="443" t="str">
        <f>IF(Tabela_kier[[#This Row],[kod.isced]]&lt;&gt;"",Tabela_kier[[#This Row],[kod.isced]],"")</f>
        <v>0412</v>
      </c>
      <c r="C56" s="437">
        <f>IF(Tabela_kier[[#This Row],[kod.dziedziny]]&lt;&gt;"",Tabela_kier[[#This Row],[kod.dziedziny]],"")</f>
        <v>501</v>
      </c>
      <c r="D56" s="437" t="str">
        <f>IF(Tabela_kier[[#This Row],[Modul]]&lt;&gt;"",Tabela_kier[[#This Row],[Modul]],"")</f>
        <v>kr.07.1</v>
      </c>
      <c r="E56" s="437" t="str">
        <f>IF(Tabela_kier[[#This Row],[Umiej.prakt.]]&lt;&gt;"",Tabela_kier[[#This Row],[Umiej.prakt.]],"")</f>
        <v>up</v>
      </c>
      <c r="F56" s="438" t="str">
        <f>IF(Tabela_kier[[#This Row],[Nazwa przedmiotu]]&lt;&gt;"",Tabela_kier[[#This Row],[Nazwa przedmiotu]],"")</f>
        <v>Finanse przedsiębiorstwa</v>
      </c>
      <c r="G56" s="439" t="str">
        <f>IF(Tabela_kier[[#This Row],[Prowadzacy]]&lt;&gt;"",Tabela_kier[[#This Row],[Prowadzacy]],"")</f>
        <v/>
      </c>
      <c r="H56" s="440" t="str">
        <f>IF(Tabela_kier[[#This Row],[Forma]]&lt;&gt;"",Tabela_kier[[#This Row],[Forma]],"")</f>
        <v>konwersatorium</v>
      </c>
      <c r="I56" s="441" t="str">
        <f>IF(Tabela_kier[[#This Row],[czy.ects]]&lt;&gt;"",Tabela_kier[[#This Row],[czy.ects]],"")</f>
        <v>TAK</v>
      </c>
      <c r="J56" s="356" t="str">
        <f>IF(Tabela_kier[[#This Row],[sem1.godziny]]&lt;&gt;"",IF(Tabela_kier[[#This Row],[sem1.godziny]]&gt;14,Tabela_kier[[#This Row],[sem1.godziny]]*0.6,Tabela_kier[[#This Row],[sem1.godziny]]),"")</f>
        <v/>
      </c>
      <c r="K56" s="356" t="str" cm="1">
        <f t="array" ref="K56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6" s="356" t="str">
        <f>IF(Tabela_kier[[#This Row],[sem1.forma]]&lt;&gt;"",Tabela_kier[[#This Row],[sem1.forma]],"")</f>
        <v/>
      </c>
      <c r="M56" s="357" t="str">
        <f>IF(Tabela_kier[[#This Row],[sem2.godziny]]&lt;&gt;"",IF(Tabela_kier[[#This Row],[sem2.godziny]]&gt;14,Tabela_kier[[#This Row],[sem2.godziny]]*0.6,Tabela_kier[[#This Row],[sem2.godziny]]),"")</f>
        <v/>
      </c>
      <c r="N56" s="357" t="str" cm="1">
        <f t="array" ref="N56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56" s="357" t="str">
        <f>IF(Tabela_kier[[#This Row],[sem2.forma]]&lt;&gt;"",Tabela_kier[[#This Row],[sem2.forma]],"")</f>
        <v/>
      </c>
      <c r="P56" s="358">
        <f>IF(Tabela_kier[[#This Row],[sem3.godziny]]&lt;&gt;"",IF(Tabela_kier[[#This Row],[sem3.godziny]]&gt;14,Tabela_kier[[#This Row],[sem3.godziny]]*0.6,Tabela_kier[[#This Row],[sem3.godziny]]),"")</f>
        <v>18</v>
      </c>
      <c r="Q56" s="359">
        <v>3</v>
      </c>
      <c r="R56" s="358" t="str">
        <f>IF(Tabela_kier[[#This Row],[sem3.forma]]&lt;&gt;"",Tabela_kier[[#This Row],[sem3.forma]],"")</f>
        <v>e</v>
      </c>
      <c r="S56" s="355" t="str">
        <f>IF(Tabela_kier[[#This Row],[sem4.godziny]]&lt;&gt;"",IF(Tabela_kier[[#This Row],[sem4.godziny]]&gt;14,Tabela_kier[[#This Row],[sem4.godziny]]*0.6,Tabela_kier[[#This Row],[sem4.godziny]]),"")</f>
        <v/>
      </c>
      <c r="T56" s="355" t="str" cm="1">
        <f t="array" ref="T56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6" s="355" t="str">
        <f>IF(Tabela_kier[[#This Row],[sem4.forma]]&lt;&gt;"",Tabela_kier[[#This Row],[sem4.forma]],"")</f>
        <v/>
      </c>
      <c r="V56" s="216" t="str">
        <f>IF(Tabela_kier[[#This Row],[sem5.godziny]]&lt;&gt;"",IF(Tabela_kier[[#This Row],[sem5.godziny]]&gt;14,Tabela_kier[[#This Row],[sem5.godziny]]*0.6,Tabela_kier[[#This Row],[sem5.godziny]]),"")</f>
        <v/>
      </c>
      <c r="W56" s="216" t="str" cm="1">
        <f t="array" ref="W56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6" s="216" t="str">
        <f>IF(Tabela_kier[[#This Row],[sem5.forma]]&lt;&gt;"",Tabela_kier[[#This Row],[sem5.forma]],"")</f>
        <v/>
      </c>
      <c r="Y56" s="217" t="str">
        <f>IF(Tabela_kier[[#This Row],[sem6.godziny]]&lt;&gt;"",IF(Tabela_kier[[#This Row],[sem6.godziny]]&gt;14,Tabela_kier[[#This Row],[sem6.godziny]]*0.6,Tabela_kier[[#This Row],[sem6.godziny]]),"")</f>
        <v/>
      </c>
      <c r="Z56" s="217" t="str" cm="1">
        <f t="array" ref="Z56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6" s="217" t="str">
        <f>IF(Tabela_kier[[#This Row],[sem6.forma]]&lt;&gt;"",Tabela_kier[[#This Row],[sem6.forma]],"")</f>
        <v/>
      </c>
      <c r="AB56" s="218" t="str">
        <f>IF(Tabela_kier[[#This Row],[sem7.godziny]]&lt;&gt;"",IF(Tabela_kier[[#This Row],[sem7.godziny]]&gt;14,Tabela_kier[[#This Row],[sem7.godziny]]*0.6,Tabela_kier[[#This Row],[sem7.godziny]]),"")</f>
        <v/>
      </c>
      <c r="AC56" s="218" t="str" cm="1">
        <f t="array" ref="AC56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6" s="218" t="str">
        <f>IF(Tabela_kier[[#This Row],[sem7.forma]]&lt;&gt;"",Tabela_kier[[#This Row],[sem7.forma]],"")</f>
        <v/>
      </c>
      <c r="AE56" s="219" t="str">
        <f>IF(Tabela_kier[[#This Row],[sem8.godziny]]&lt;&gt;"",IF(Tabela_kier[[#This Row],[sem8.godziny]]&gt;14,Tabela_kier[[#This Row],[sem8.godziny]]*0.6,Tabela_kier[[#This Row],[sem8.godziny]]),"")</f>
        <v/>
      </c>
      <c r="AF56" s="219" t="str" cm="1">
        <f t="array" ref="AF56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6" s="219" t="str">
        <f>IF(Tabela_kier[[#This Row],[sem8.forma]]&lt;&gt;"",Tabela_kier[[#This Row],[sem8.forma]],"")</f>
        <v/>
      </c>
      <c r="AH56" s="220" t="str">
        <f>IF(Tabela_kier[[#This Row],[sem9.godziny]]&lt;&gt;"",IF(Tabela_kier[[#This Row],[sem9.godziny]]&gt;14,Tabela_kier[[#This Row],[sem9.godziny]]*0.6,Tabela_kier[[#This Row],[sem9.godziny]]),"")</f>
        <v/>
      </c>
      <c r="AI56" s="220" t="str" cm="1">
        <f t="array" ref="AI56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6" s="220" t="str">
        <f>IF(Tabela_kier[[#This Row],[sem9.forma]]&lt;&gt;"",Tabela_kier[[#This Row],[sem9.forma]],"")</f>
        <v/>
      </c>
      <c r="AK56" s="221" t="str">
        <f>IF(Tabela_kier[[#This Row],[sem10.godziny]]&lt;&gt;"",IF(Tabela_kier[[#This Row],[sem10.godziny]]&gt;14,Tabela_kier[[#This Row],[sem10.godziny]]*0.6,Tabela_kier[[#This Row],[sem10.godziny]]),"")</f>
        <v/>
      </c>
      <c r="AL56" s="221" t="str" cm="1">
        <f t="array" ref="AL56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6" s="221" t="str">
        <f>IF(Tabela_kier[[#This Row],[sem10.forma]]&lt;&gt;"",Tabela_kier[[#This Row],[sem10.forma]],"")</f>
        <v/>
      </c>
      <c r="AN56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6" s="389">
        <f>IF(ISERR(SEARCH("UP",Tabela_kier_nst[[#This Row],[Umiej.prakt.]],1)),0,Tabela_kier_nst[[#This Row],[ects.razem]])</f>
        <v>3</v>
      </c>
      <c r="AP56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6" s="391">
        <f>SUM(Tabela_kier_nst[[#This Row],[godziny.samoksztalcenie]],Tabela_kier_nst[[#This Row],[godziny.konsultacja]],Tabela_kier_nst[[#This Row],[godziny.egzamin]],Tabela_kier_nst[[#This Row],[godziny.zajec.razem]])</f>
        <v>52</v>
      </c>
      <c r="AR56" s="392">
        <f>Tabela_kier[[#This Row],[godziny.samoksztalcenie]]+(Tabela_kier[[#This Row],[godziny.zajec.razem]]-Tabela_kier_nst[[#This Row],[godziny.zajec.razem]])</f>
        <v>29</v>
      </c>
      <c r="AS56" s="393">
        <f>Tabela_kier[[#This Row],[godziny.konsultacja]]</f>
        <v>3</v>
      </c>
      <c r="AT56" s="394">
        <f>Tabela_kier[[#This Row],[godziny.egzamin]]</f>
        <v>2</v>
      </c>
      <c r="AU56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6" s="442">
        <f>IF(Tabela_kier_nst[[#This Row],[ects.bezposr.nauczyciel]],Tabela_kier_nst[[#This Row],[ects.bezposr.nauczyciel]]/Tabela_kier_nst[[#This Row],[ects.razem]],0)</f>
        <v>0.33333333333333331</v>
      </c>
      <c r="AW56" s="49"/>
    </row>
    <row r="57" spans="1:49" ht="25.5" customHeight="1" x14ac:dyDescent="0.3">
      <c r="A57" s="207"/>
      <c r="B57" s="331" t="str">
        <f>IF(Tabela_kier[[#This Row],[kod.isced]]&lt;&gt;"",Tabela_kier[[#This Row],[kod.isced]],"")</f>
        <v>0412</v>
      </c>
      <c r="C57" s="332">
        <f>IF(Tabela_kier[[#This Row],[kod.dziedziny]]&lt;&gt;"",Tabela_kier[[#This Row],[kod.dziedziny]],"")</f>
        <v>501</v>
      </c>
      <c r="D57" s="193" t="str">
        <f>IF(Tabela_kier[[#This Row],[Modul]]&lt;&gt;"",Tabela_kier[[#This Row],[Modul]],"")</f>
        <v>kr.07.2</v>
      </c>
      <c r="E57" s="193" t="str">
        <f>IF(Tabela_kier[[#This Row],[Umiej.prakt.]]&lt;&gt;"",Tabela_kier[[#This Row],[Umiej.prakt.]],"")</f>
        <v>up</v>
      </c>
      <c r="F57" s="308" t="str">
        <f>IF(Tabela_kier[[#This Row],[Nazwa przedmiotu]]&lt;&gt;"",Tabela_kier[[#This Row],[Nazwa przedmiotu]],"")</f>
        <v>Finanse przedsiębiorstwa</v>
      </c>
      <c r="G57" s="309" t="str">
        <f>IF(Tabela_kier[[#This Row],[Prowadzacy]]&lt;&gt;"",Tabela_kier[[#This Row],[Prowadzacy]],"")</f>
        <v/>
      </c>
      <c r="H57" s="155" t="str">
        <f>IF(Tabela_kier[[#This Row],[Forma]]&lt;&gt;"",Tabela_kier[[#This Row],[Forma]],"")</f>
        <v>ćwiczenia</v>
      </c>
      <c r="I57" s="156" t="str">
        <f>IF(Tabela_kier[[#This Row],[czy.ects]]&lt;&gt;"",Tabela_kier[[#This Row],[czy.ects]],"")</f>
        <v>TAK</v>
      </c>
      <c r="J57" s="356" t="str">
        <f>IF(Tabela_kier[[#This Row],[sem1.godziny]]&lt;&gt;"",IF(Tabela_kier[[#This Row],[sem1.godziny]]&gt;14,Tabela_kier[[#This Row],[sem1.godziny]]*0.6,Tabela_kier[[#This Row],[sem1.godziny]]),"")</f>
        <v/>
      </c>
      <c r="K57" s="356" t="str" cm="1">
        <f t="array" ref="K57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7" s="356" t="str">
        <f>IF(Tabela_kier[[#This Row],[sem1.forma]]&lt;&gt;"",Tabela_kier[[#This Row],[sem1.forma]],"")</f>
        <v/>
      </c>
      <c r="M57" s="357" t="str">
        <f>IF(Tabela_kier[[#This Row],[sem2.godziny]]&lt;&gt;"",IF(Tabela_kier[[#This Row],[sem2.godziny]]&gt;14,Tabela_kier[[#This Row],[sem2.godziny]]*0.6,Tabela_kier[[#This Row],[sem2.godziny]]),"")</f>
        <v/>
      </c>
      <c r="N57" s="357" t="str" cm="1">
        <f t="array" ref="N57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57" s="357" t="str">
        <f>IF(Tabela_kier[[#This Row],[sem2.forma]]&lt;&gt;"",Tabela_kier[[#This Row],[sem2.forma]],"")</f>
        <v/>
      </c>
      <c r="P57" s="358">
        <f>IF(Tabela_kier[[#This Row],[sem3.godziny]]&lt;&gt;"",IF(Tabela_kier[[#This Row],[sem3.godziny]]&gt;14,Tabela_kier[[#This Row],[sem3.godziny]]*0.6,Tabela_kier[[#This Row],[sem3.godziny]]),"")</f>
        <v>18</v>
      </c>
      <c r="Q57" s="359">
        <v>3</v>
      </c>
      <c r="R57" s="358" t="str">
        <f>IF(Tabela_kier[[#This Row],[sem3.forma]]&lt;&gt;"",Tabela_kier[[#This Row],[sem3.forma]],"")</f>
        <v>z</v>
      </c>
      <c r="S57" s="355" t="str">
        <f>IF(Tabela_kier[[#This Row],[sem4.godziny]]&lt;&gt;"",IF(Tabela_kier[[#This Row],[sem4.godziny]]&gt;14,Tabela_kier[[#This Row],[sem4.godziny]]*0.6,Tabela_kier[[#This Row],[sem4.godziny]]),"")</f>
        <v/>
      </c>
      <c r="T57" s="355" t="str" cm="1">
        <f t="array" ref="T57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7" s="355" t="str">
        <f>IF(Tabela_kier[[#This Row],[sem4.forma]]&lt;&gt;"",Tabela_kier[[#This Row],[sem4.forma]],"")</f>
        <v/>
      </c>
      <c r="V57" s="216" t="str">
        <f>IF(Tabela_kier[[#This Row],[sem5.godziny]]&lt;&gt;"",IF(Tabela_kier[[#This Row],[sem5.godziny]]&gt;14,Tabela_kier[[#This Row],[sem5.godziny]]*0.6,Tabela_kier[[#This Row],[sem5.godziny]]),"")</f>
        <v/>
      </c>
      <c r="W57" s="216" t="str" cm="1">
        <f t="array" ref="W57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7" s="216" t="str">
        <f>IF(Tabela_kier[[#This Row],[sem5.forma]]&lt;&gt;"",Tabela_kier[[#This Row],[sem5.forma]],"")</f>
        <v/>
      </c>
      <c r="Y57" s="217" t="str">
        <f>IF(Tabela_kier[[#This Row],[sem6.godziny]]&lt;&gt;"",IF(Tabela_kier[[#This Row],[sem6.godziny]]&gt;14,Tabela_kier[[#This Row],[sem6.godziny]]*0.6,Tabela_kier[[#This Row],[sem6.godziny]]),"")</f>
        <v/>
      </c>
      <c r="Z57" s="217" t="str" cm="1">
        <f t="array" ref="Z57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7" s="217" t="str">
        <f>IF(Tabela_kier[[#This Row],[sem6.forma]]&lt;&gt;"",Tabela_kier[[#This Row],[sem6.forma]],"")</f>
        <v/>
      </c>
      <c r="AB57" s="218" t="str">
        <f>IF(Tabela_kier[[#This Row],[sem7.godziny]]&lt;&gt;"",IF(Tabela_kier[[#This Row],[sem7.godziny]]&gt;14,Tabela_kier[[#This Row],[sem7.godziny]]*0.6,Tabela_kier[[#This Row],[sem7.godziny]]),"")</f>
        <v/>
      </c>
      <c r="AC57" s="218" t="str" cm="1">
        <f t="array" ref="AC57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7" s="218" t="str">
        <f>IF(Tabela_kier[[#This Row],[sem7.forma]]&lt;&gt;"",Tabela_kier[[#This Row],[sem7.forma]],"")</f>
        <v/>
      </c>
      <c r="AE57" s="219" t="str">
        <f>IF(Tabela_kier[[#This Row],[sem8.godziny]]&lt;&gt;"",IF(Tabela_kier[[#This Row],[sem8.godziny]]&gt;14,Tabela_kier[[#This Row],[sem8.godziny]]*0.6,Tabela_kier[[#This Row],[sem8.godziny]]),"")</f>
        <v/>
      </c>
      <c r="AF57" s="219" t="str" cm="1">
        <f t="array" ref="AF57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7" s="219" t="str">
        <f>IF(Tabela_kier[[#This Row],[sem8.forma]]&lt;&gt;"",Tabela_kier[[#This Row],[sem8.forma]],"")</f>
        <v/>
      </c>
      <c r="AH57" s="220" t="str">
        <f>IF(Tabela_kier[[#This Row],[sem9.godziny]]&lt;&gt;"",IF(Tabela_kier[[#This Row],[sem9.godziny]]&gt;14,Tabela_kier[[#This Row],[sem9.godziny]]*0.6,Tabela_kier[[#This Row],[sem9.godziny]]),"")</f>
        <v/>
      </c>
      <c r="AI57" s="220" t="str" cm="1">
        <f t="array" ref="AI57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7" s="220" t="str">
        <f>IF(Tabela_kier[[#This Row],[sem9.forma]]&lt;&gt;"",Tabela_kier[[#This Row],[sem9.forma]],"")</f>
        <v/>
      </c>
      <c r="AK57" s="221" t="str">
        <f>IF(Tabela_kier[[#This Row],[sem10.godziny]]&lt;&gt;"",IF(Tabela_kier[[#This Row],[sem10.godziny]]&gt;14,Tabela_kier[[#This Row],[sem10.godziny]]*0.6,Tabela_kier[[#This Row],[sem10.godziny]]),"")</f>
        <v/>
      </c>
      <c r="AL57" s="221" t="str" cm="1">
        <f t="array" ref="AL57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7" s="221" t="str">
        <f>IF(Tabela_kier[[#This Row],[sem10.forma]]&lt;&gt;"",Tabela_kier[[#This Row],[sem10.forma]],"")</f>
        <v/>
      </c>
      <c r="AN57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7" s="223">
        <f>IF(ISERR(SEARCH("UP",Tabela_kier_nst[[#This Row],[Umiej.prakt.]],1)),0,Tabela_kier_nst[[#This Row],[ects.razem]])</f>
        <v>3</v>
      </c>
      <c r="AP57" s="224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7" s="225">
        <f>SUM(Tabela_kier_nst[[#This Row],[godziny.samoksztalcenie]],Tabela_kier_nst[[#This Row],[godziny.konsultacja]],Tabela_kier_nst[[#This Row],[godziny.egzamin]],Tabela_kier_nst[[#This Row],[godziny.zajec.razem]])</f>
        <v>52</v>
      </c>
      <c r="AR57" s="226">
        <f>Tabela_kier[[#This Row],[godziny.samoksztalcenie]]+(Tabela_kier[[#This Row],[godziny.zajec.razem]]-Tabela_kier_nst[[#This Row],[godziny.zajec.razem]])</f>
        <v>29</v>
      </c>
      <c r="AS57" s="227">
        <f>Tabela_kier[[#This Row],[godziny.konsultacja]]</f>
        <v>3</v>
      </c>
      <c r="AT57" s="228">
        <f>Tabela_kier[[#This Row],[godziny.egzamin]]</f>
        <v>2</v>
      </c>
      <c r="AU57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7" s="326">
        <f>IF(Tabela_kier_nst[[#This Row],[ects.bezposr.nauczyciel]],Tabela_kier_nst[[#This Row],[ects.bezposr.nauczyciel]]/Tabela_kier_nst[[#This Row],[ects.razem]],0)</f>
        <v>0.33333333333333331</v>
      </c>
      <c r="AW57" s="49"/>
    </row>
    <row r="58" spans="1:49" ht="25.5" customHeight="1" x14ac:dyDescent="0.3">
      <c r="A58" s="207"/>
      <c r="B58" s="443" t="str">
        <f>IF(Tabela_kier[[#This Row],[kod.isced]]&lt;&gt;"",Tabela_kier[[#This Row],[kod.isced]],"")</f>
        <v>0411</v>
      </c>
      <c r="C58" s="437">
        <f>IF(Tabela_kier[[#This Row],[kod.dziedziny]]&lt;&gt;"",Tabela_kier[[#This Row],[kod.dziedziny]],"")</f>
        <v>501</v>
      </c>
      <c r="D58" s="437" t="str">
        <f>IF(Tabela_kier[[#This Row],[Modul]]&lt;&gt;"",Tabela_kier[[#This Row],[Modul]],"")</f>
        <v>kr.08.1</v>
      </c>
      <c r="E58" s="437" t="str">
        <f>IF(Tabela_kier[[#This Row],[Umiej.prakt.]]&lt;&gt;"",Tabela_kier[[#This Row],[Umiej.prakt.]],"")</f>
        <v>up</v>
      </c>
      <c r="F58" s="438" t="str">
        <f>IF(Tabela_kier[[#This Row],[Nazwa przedmiotu]]&lt;&gt;"",Tabela_kier[[#This Row],[Nazwa przedmiotu]],"")</f>
        <v>Rachunkowość finansowa</v>
      </c>
      <c r="G58" s="439" t="str">
        <f>IF(Tabela_kier[[#This Row],[Prowadzacy]]&lt;&gt;"",Tabela_kier[[#This Row],[Prowadzacy]],"")</f>
        <v/>
      </c>
      <c r="H58" s="440" t="str">
        <f>IF(Tabela_kier[[#This Row],[Forma]]&lt;&gt;"",Tabela_kier[[#This Row],[Forma]],"")</f>
        <v>konwersatorium</v>
      </c>
      <c r="I58" s="441" t="str">
        <f>IF(Tabela_kier[[#This Row],[czy.ects]]&lt;&gt;"",Tabela_kier[[#This Row],[czy.ects]],"")</f>
        <v>TAK</v>
      </c>
      <c r="J58" s="356" t="str">
        <f>IF(Tabela_kier[[#This Row],[sem1.godziny]]&lt;&gt;"",IF(Tabela_kier[[#This Row],[sem1.godziny]]&gt;14,Tabela_kier[[#This Row],[sem1.godziny]]*0.6,Tabela_kier[[#This Row],[sem1.godziny]]),"")</f>
        <v/>
      </c>
      <c r="K58" s="356" t="str" cm="1">
        <f t="array" ref="K58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8" s="356" t="str">
        <f>IF(Tabela_kier[[#This Row],[sem1.forma]]&lt;&gt;"",Tabela_kier[[#This Row],[sem1.forma]],"")</f>
        <v/>
      </c>
      <c r="M58" s="357" t="str">
        <f>IF(Tabela_kier[[#This Row],[sem2.godziny]]&lt;&gt;"",IF(Tabela_kier[[#This Row],[sem2.godziny]]&gt;14,Tabela_kier[[#This Row],[sem2.godziny]]*0.6,Tabela_kier[[#This Row],[sem2.godziny]]),"")</f>
        <v/>
      </c>
      <c r="N58" s="357" t="str" cm="1">
        <f t="array" ref="N58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58" s="357" t="str">
        <f>IF(Tabela_kier[[#This Row],[sem2.forma]]&lt;&gt;"",Tabela_kier[[#This Row],[sem2.forma]],"")</f>
        <v/>
      </c>
      <c r="P58" s="358">
        <f>IF(Tabela_kier[[#This Row],[sem3.godziny]]&lt;&gt;"",IF(Tabela_kier[[#This Row],[sem3.godziny]]&gt;14,Tabela_kier[[#This Row],[sem3.godziny]]*0.6,Tabela_kier[[#This Row],[sem3.godziny]]),"")</f>
        <v>18</v>
      </c>
      <c r="Q58" s="359">
        <v>3</v>
      </c>
      <c r="R58" s="358" t="str">
        <f>IF(Tabela_kier[[#This Row],[sem3.forma]]&lt;&gt;"",Tabela_kier[[#This Row],[sem3.forma]],"")</f>
        <v>e</v>
      </c>
      <c r="S58" s="355" t="str">
        <f>IF(Tabela_kier[[#This Row],[sem4.godziny]]&lt;&gt;"",IF(Tabela_kier[[#This Row],[sem4.godziny]]&gt;14,Tabela_kier[[#This Row],[sem4.godziny]]*0.6,Tabela_kier[[#This Row],[sem4.godziny]]),"")</f>
        <v/>
      </c>
      <c r="T58" s="355"/>
      <c r="U58" s="355" t="str">
        <f>IF(Tabela_kier[[#This Row],[sem4.forma]]&lt;&gt;"",Tabela_kier[[#This Row],[sem4.forma]],"")</f>
        <v/>
      </c>
      <c r="V58" s="216" t="str">
        <f>IF(Tabela_kier[[#This Row],[sem5.godziny]]&lt;&gt;"",IF(Tabela_kier[[#This Row],[sem5.godziny]]&gt;14,Tabela_kier[[#This Row],[sem5.godziny]]*0.6,Tabela_kier[[#This Row],[sem5.godziny]]),"")</f>
        <v/>
      </c>
      <c r="W58" s="216" t="str" cm="1">
        <f t="array" ref="W58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8" s="216" t="str">
        <f>IF(Tabela_kier[[#This Row],[sem5.forma]]&lt;&gt;"",Tabela_kier[[#This Row],[sem5.forma]],"")</f>
        <v/>
      </c>
      <c r="Y58" s="217" t="str">
        <f>IF(Tabela_kier[[#This Row],[sem6.godziny]]&lt;&gt;"",IF(Tabela_kier[[#This Row],[sem6.godziny]]&gt;14,Tabela_kier[[#This Row],[sem6.godziny]]*0.6,Tabela_kier[[#This Row],[sem6.godziny]]),"")</f>
        <v/>
      </c>
      <c r="Z58" s="217" t="str" cm="1">
        <f t="array" ref="Z58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8" s="217" t="str">
        <f>IF(Tabela_kier[[#This Row],[sem6.forma]]&lt;&gt;"",Tabela_kier[[#This Row],[sem6.forma]],"")</f>
        <v/>
      </c>
      <c r="AB58" s="218" t="str">
        <f>IF(Tabela_kier[[#This Row],[sem7.godziny]]&lt;&gt;"",IF(Tabela_kier[[#This Row],[sem7.godziny]]&gt;14,Tabela_kier[[#This Row],[sem7.godziny]]*0.6,Tabela_kier[[#This Row],[sem7.godziny]]),"")</f>
        <v/>
      </c>
      <c r="AC58" s="218" t="str" cm="1">
        <f t="array" ref="AC58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8" s="218" t="str">
        <f>IF(Tabela_kier[[#This Row],[sem7.forma]]&lt;&gt;"",Tabela_kier[[#This Row],[sem7.forma]],"")</f>
        <v/>
      </c>
      <c r="AE58" s="219" t="str">
        <f>IF(Tabela_kier[[#This Row],[sem8.godziny]]&lt;&gt;"",IF(Tabela_kier[[#This Row],[sem8.godziny]]&gt;14,Tabela_kier[[#This Row],[sem8.godziny]]*0.6,Tabela_kier[[#This Row],[sem8.godziny]]),"")</f>
        <v/>
      </c>
      <c r="AF58" s="219" t="str" cm="1">
        <f t="array" ref="AF58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8" s="219" t="str">
        <f>IF(Tabela_kier[[#This Row],[sem8.forma]]&lt;&gt;"",Tabela_kier[[#This Row],[sem8.forma]],"")</f>
        <v/>
      </c>
      <c r="AH58" s="220" t="str">
        <f>IF(Tabela_kier[[#This Row],[sem9.godziny]]&lt;&gt;"",IF(Tabela_kier[[#This Row],[sem9.godziny]]&gt;14,Tabela_kier[[#This Row],[sem9.godziny]]*0.6,Tabela_kier[[#This Row],[sem9.godziny]]),"")</f>
        <v/>
      </c>
      <c r="AI58" s="220" t="str" cm="1">
        <f t="array" ref="AI58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8" s="220" t="str">
        <f>IF(Tabela_kier[[#This Row],[sem9.forma]]&lt;&gt;"",Tabela_kier[[#This Row],[sem9.forma]],"")</f>
        <v/>
      </c>
      <c r="AK58" s="221" t="str">
        <f>IF(Tabela_kier[[#This Row],[sem10.godziny]]&lt;&gt;"",IF(Tabela_kier[[#This Row],[sem10.godziny]]&gt;14,Tabela_kier[[#This Row],[sem10.godziny]]*0.6,Tabela_kier[[#This Row],[sem10.godziny]]),"")</f>
        <v/>
      </c>
      <c r="AL58" s="221" t="str" cm="1">
        <f t="array" ref="AL58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8" s="221" t="str">
        <f>IF(Tabela_kier[[#This Row],[sem10.forma]]&lt;&gt;"",Tabela_kier[[#This Row],[sem10.forma]],"")</f>
        <v/>
      </c>
      <c r="AN58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8" s="389">
        <f>IF(ISERR(SEARCH("UP",Tabela_kier_nst[[#This Row],[Umiej.prakt.]],1)),0,Tabela_kier_nst[[#This Row],[ects.razem]])</f>
        <v>3</v>
      </c>
      <c r="AP58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8" s="391">
        <f>SUM(Tabela_kier_nst[[#This Row],[godziny.samoksztalcenie]],Tabela_kier_nst[[#This Row],[godziny.konsultacja]],Tabela_kier_nst[[#This Row],[godziny.egzamin]],Tabela_kier_nst[[#This Row],[godziny.zajec.razem]])</f>
        <v>52</v>
      </c>
      <c r="AR58" s="392">
        <f>Tabela_kier[[#This Row],[godziny.samoksztalcenie]]+(Tabela_kier[[#This Row],[godziny.zajec.razem]]-Tabela_kier_nst[[#This Row],[godziny.zajec.razem]])</f>
        <v>29</v>
      </c>
      <c r="AS58" s="393">
        <f>Tabela_kier[[#This Row],[godziny.konsultacja]]</f>
        <v>3</v>
      </c>
      <c r="AT58" s="394">
        <f>Tabela_kier[[#This Row],[godziny.egzamin]]</f>
        <v>2</v>
      </c>
      <c r="AU58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8" s="442">
        <f>IF(Tabela_kier_nst[[#This Row],[ects.bezposr.nauczyciel]],Tabela_kier_nst[[#This Row],[ects.bezposr.nauczyciel]]/Tabela_kier_nst[[#This Row],[ects.razem]],0)</f>
        <v>0.33333333333333331</v>
      </c>
      <c r="AW58" s="49"/>
    </row>
    <row r="59" spans="1:49" ht="25.5" customHeight="1" x14ac:dyDescent="0.3">
      <c r="A59" s="207"/>
      <c r="B59" s="443" t="str">
        <f>IF(Tabela_kier[[#This Row],[kod.isced]]&lt;&gt;"",Tabela_kier[[#This Row],[kod.isced]],"")</f>
        <v>0411</v>
      </c>
      <c r="C59" s="437">
        <f>IF(Tabela_kier[[#This Row],[kod.dziedziny]]&lt;&gt;"",Tabela_kier[[#This Row],[kod.dziedziny]],"")</f>
        <v>501</v>
      </c>
      <c r="D59" s="437" t="str">
        <f>IF(Tabela_kier[[#This Row],[Modul]]&lt;&gt;"",Tabela_kier[[#This Row],[Modul]],"")</f>
        <v>kr.08.2</v>
      </c>
      <c r="E59" s="437" t="str">
        <f>IF(Tabela_kier[[#This Row],[Umiej.prakt.]]&lt;&gt;"",Tabela_kier[[#This Row],[Umiej.prakt.]],"")</f>
        <v>up</v>
      </c>
      <c r="F59" s="438" t="str">
        <f>IF(Tabela_kier[[#This Row],[Nazwa przedmiotu]]&lt;&gt;"",Tabela_kier[[#This Row],[Nazwa przedmiotu]],"")</f>
        <v>Rachunkowość finansowa</v>
      </c>
      <c r="G59" s="439" t="str">
        <f>IF(Tabela_kier[[#This Row],[Prowadzacy]]&lt;&gt;"",Tabela_kier[[#This Row],[Prowadzacy]],"")</f>
        <v/>
      </c>
      <c r="H59" s="440" t="str">
        <f>IF(Tabela_kier[[#This Row],[Forma]]&lt;&gt;"",Tabela_kier[[#This Row],[Forma]],"")</f>
        <v>ćwiczenia</v>
      </c>
      <c r="I59" s="441" t="str">
        <f>IF(Tabela_kier[[#This Row],[czy.ects]]&lt;&gt;"",Tabela_kier[[#This Row],[czy.ects]],"")</f>
        <v>TAK</v>
      </c>
      <c r="J59" s="356" t="str">
        <f>IF(Tabela_kier[[#This Row],[sem1.godziny]]&lt;&gt;"",IF(Tabela_kier[[#This Row],[sem1.godziny]]&gt;14,Tabela_kier[[#This Row],[sem1.godziny]]*0.6,Tabela_kier[[#This Row],[sem1.godziny]]),"")</f>
        <v/>
      </c>
      <c r="K59" s="356" t="str" cm="1">
        <f t="array" ref="K59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59" s="356" t="str">
        <f>IF(Tabela_kier[[#This Row],[sem1.forma]]&lt;&gt;"",Tabela_kier[[#This Row],[sem1.forma]],"")</f>
        <v/>
      </c>
      <c r="M59" s="357" t="str">
        <f>IF(Tabela_kier[[#This Row],[sem2.godziny]]&lt;&gt;"",IF(Tabela_kier[[#This Row],[sem2.godziny]]&gt;14,Tabela_kier[[#This Row],[sem2.godziny]]*0.6,Tabela_kier[[#This Row],[sem2.godziny]]),"")</f>
        <v/>
      </c>
      <c r="N59" s="357" t="str" cm="1">
        <f t="array" ref="N59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59" s="357" t="str">
        <f>IF(Tabela_kier[[#This Row],[sem2.forma]]&lt;&gt;"",Tabela_kier[[#This Row],[sem2.forma]],"")</f>
        <v/>
      </c>
      <c r="P59" s="358">
        <f>IF(Tabela_kier[[#This Row],[sem3.godziny]]&lt;&gt;"",IF(Tabela_kier[[#This Row],[sem3.godziny]]&gt;14,Tabela_kier[[#This Row],[sem3.godziny]]*0.6,Tabela_kier[[#This Row],[sem3.godziny]]),"")</f>
        <v>18</v>
      </c>
      <c r="Q59" s="359">
        <v>3</v>
      </c>
      <c r="R59" s="358" t="str">
        <f>IF(Tabela_kier[[#This Row],[sem3.forma]]&lt;&gt;"",Tabela_kier[[#This Row],[sem3.forma]],"")</f>
        <v>z</v>
      </c>
      <c r="S59" s="355" t="str">
        <f>IF(Tabela_kier[[#This Row],[sem4.godziny]]&lt;&gt;"",IF(Tabela_kier[[#This Row],[sem4.godziny]]&gt;14,Tabela_kier[[#This Row],[sem4.godziny]]*0.6,Tabela_kier[[#This Row],[sem4.godziny]]),"")</f>
        <v/>
      </c>
      <c r="T59" s="355" t="str" cm="1">
        <f t="array" ref="T59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59" s="355" t="str">
        <f>IF(Tabela_kier[[#This Row],[sem4.forma]]&lt;&gt;"",Tabela_kier[[#This Row],[sem4.forma]],"")</f>
        <v/>
      </c>
      <c r="V59" s="216" t="str">
        <f>IF(Tabela_kier[[#This Row],[sem5.godziny]]&lt;&gt;"",IF(Tabela_kier[[#This Row],[sem5.godziny]]&gt;14,Tabela_kier[[#This Row],[sem5.godziny]]*0.6,Tabela_kier[[#This Row],[sem5.godziny]]),"")</f>
        <v/>
      </c>
      <c r="W59" s="216" t="str" cm="1">
        <f t="array" ref="W59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59" s="216" t="str">
        <f>IF(Tabela_kier[[#This Row],[sem5.forma]]&lt;&gt;"",Tabela_kier[[#This Row],[sem5.forma]],"")</f>
        <v/>
      </c>
      <c r="Y59" s="217" t="str">
        <f>IF(Tabela_kier[[#This Row],[sem6.godziny]]&lt;&gt;"",IF(Tabela_kier[[#This Row],[sem6.godziny]]&gt;14,Tabela_kier[[#This Row],[sem6.godziny]]*0.6,Tabela_kier[[#This Row],[sem6.godziny]]),"")</f>
        <v/>
      </c>
      <c r="Z59" s="217" t="str" cm="1">
        <f t="array" ref="Z59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59" s="217" t="str">
        <f>IF(Tabela_kier[[#This Row],[sem6.forma]]&lt;&gt;"",Tabela_kier[[#This Row],[sem6.forma]],"")</f>
        <v/>
      </c>
      <c r="AB59" s="218" t="str">
        <f>IF(Tabela_kier[[#This Row],[sem7.godziny]]&lt;&gt;"",IF(Tabela_kier[[#This Row],[sem7.godziny]]&gt;14,Tabela_kier[[#This Row],[sem7.godziny]]*0.6,Tabela_kier[[#This Row],[sem7.godziny]]),"")</f>
        <v/>
      </c>
      <c r="AC59" s="218" t="str" cm="1">
        <f t="array" ref="AC59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59" s="218" t="str">
        <f>IF(Tabela_kier[[#This Row],[sem7.forma]]&lt;&gt;"",Tabela_kier[[#This Row],[sem7.forma]],"")</f>
        <v/>
      </c>
      <c r="AE59" s="219" t="str">
        <f>IF(Tabela_kier[[#This Row],[sem8.godziny]]&lt;&gt;"",IF(Tabela_kier[[#This Row],[sem8.godziny]]&gt;14,Tabela_kier[[#This Row],[sem8.godziny]]*0.6,Tabela_kier[[#This Row],[sem8.godziny]]),"")</f>
        <v/>
      </c>
      <c r="AF59" s="219" t="str" cm="1">
        <f t="array" ref="AF59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59" s="219" t="str">
        <f>IF(Tabela_kier[[#This Row],[sem8.forma]]&lt;&gt;"",Tabela_kier[[#This Row],[sem8.forma]],"")</f>
        <v/>
      </c>
      <c r="AH59" s="220" t="str">
        <f>IF(Tabela_kier[[#This Row],[sem9.godziny]]&lt;&gt;"",IF(Tabela_kier[[#This Row],[sem9.godziny]]&gt;14,Tabela_kier[[#This Row],[sem9.godziny]]*0.6,Tabela_kier[[#This Row],[sem9.godziny]]),"")</f>
        <v/>
      </c>
      <c r="AI59" s="220" t="str" cm="1">
        <f t="array" ref="AI59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59" s="220" t="str">
        <f>IF(Tabela_kier[[#This Row],[sem9.forma]]&lt;&gt;"",Tabela_kier[[#This Row],[sem9.forma]],"")</f>
        <v/>
      </c>
      <c r="AK59" s="221" t="str">
        <f>IF(Tabela_kier[[#This Row],[sem10.godziny]]&lt;&gt;"",IF(Tabela_kier[[#This Row],[sem10.godziny]]&gt;14,Tabela_kier[[#This Row],[sem10.godziny]]*0.6,Tabela_kier[[#This Row],[sem10.godziny]]),"")</f>
        <v/>
      </c>
      <c r="AL59" s="221" t="str" cm="1">
        <f t="array" ref="AL59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59" s="221" t="str">
        <f>IF(Tabela_kier[[#This Row],[sem10.forma]]&lt;&gt;"",Tabela_kier[[#This Row],[sem10.forma]],"")</f>
        <v/>
      </c>
      <c r="AN59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59" s="389">
        <f>IF(ISERR(SEARCH("UP",Tabela_kier_nst[[#This Row],[Umiej.prakt.]],1)),0,Tabela_kier_nst[[#This Row],[ects.razem]])</f>
        <v>3</v>
      </c>
      <c r="AP59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59" s="391">
        <f>SUM(Tabela_kier_nst[[#This Row],[godziny.samoksztalcenie]],Tabela_kier_nst[[#This Row],[godziny.konsultacja]],Tabela_kier_nst[[#This Row],[godziny.egzamin]],Tabela_kier_nst[[#This Row],[godziny.zajec.razem]])</f>
        <v>52</v>
      </c>
      <c r="AR59" s="392">
        <f>Tabela_kier[[#This Row],[godziny.samoksztalcenie]]+(Tabela_kier[[#This Row],[godziny.zajec.razem]]-Tabela_kier_nst[[#This Row],[godziny.zajec.razem]])</f>
        <v>29</v>
      </c>
      <c r="AS59" s="393">
        <f>Tabela_kier[[#This Row],[godziny.konsultacja]]</f>
        <v>3</v>
      </c>
      <c r="AT59" s="394">
        <f>Tabela_kier[[#This Row],[godziny.egzamin]]</f>
        <v>2</v>
      </c>
      <c r="AU59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59" s="442">
        <f>IF(Tabela_kier_nst[[#This Row],[ects.bezposr.nauczyciel]],Tabela_kier_nst[[#This Row],[ects.bezposr.nauczyciel]]/Tabela_kier_nst[[#This Row],[ects.razem]],0)</f>
        <v>0.33333333333333331</v>
      </c>
      <c r="AW59" s="49"/>
    </row>
    <row r="60" spans="1:49" ht="25.5" customHeight="1" x14ac:dyDescent="0.3">
      <c r="A60" s="207"/>
      <c r="B60" s="443" t="str">
        <f>IF(Tabela_kier[[#This Row],[kod.isced]]&lt;&gt;"",Tabela_kier[[#This Row],[kod.isced]],"")</f>
        <v>0411</v>
      </c>
      <c r="C60" s="437">
        <f>IF(Tabela_kier[[#This Row],[kod.dziedziny]]&lt;&gt;"",Tabela_kier[[#This Row],[kod.dziedziny]],"")</f>
        <v>501</v>
      </c>
      <c r="D60" s="437" t="str">
        <f>IF(Tabela_kier[[#This Row],[Modul]]&lt;&gt;"",Tabela_kier[[#This Row],[Modul]],"")</f>
        <v>kr.09.1</v>
      </c>
      <c r="E60" s="437" t="str">
        <f>IF(Tabela_kier[[#This Row],[Umiej.prakt.]]&lt;&gt;"",Tabela_kier[[#This Row],[Umiej.prakt.]],"")</f>
        <v>up</v>
      </c>
      <c r="F60" s="438" t="str">
        <f>IF(Tabela_kier[[#This Row],[Nazwa przedmiotu]]&lt;&gt;"",Tabela_kier[[#This Row],[Nazwa przedmiotu]],"")</f>
        <v>Sprawozdawczość finansowa</v>
      </c>
      <c r="G60" s="439" t="str">
        <f>IF(Tabela_kier[[#This Row],[Prowadzacy]]&lt;&gt;"",Tabela_kier[[#This Row],[Prowadzacy]],"")</f>
        <v/>
      </c>
      <c r="H60" s="440" t="str">
        <f>IF(Tabela_kier[[#This Row],[Forma]]&lt;&gt;"",Tabela_kier[[#This Row],[Forma]],"")</f>
        <v>konwersatorium</v>
      </c>
      <c r="I60" s="441" t="str">
        <f>IF(Tabela_kier[[#This Row],[czy.ects]]&lt;&gt;"",Tabela_kier[[#This Row],[czy.ects]],"")</f>
        <v>TAK</v>
      </c>
      <c r="J60" s="356" t="str">
        <f>IF(Tabela_kier[[#This Row],[sem1.godziny]]&lt;&gt;"",IF(Tabela_kier[[#This Row],[sem1.godziny]]&gt;14,Tabela_kier[[#This Row],[sem1.godziny]]*0.6,Tabela_kier[[#This Row],[sem1.godziny]]),"")</f>
        <v/>
      </c>
      <c r="K60" s="356" t="str" cm="1">
        <f t="array" ref="K60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0" s="356" t="str">
        <f>IF(Tabela_kier[[#This Row],[sem1.forma]]&lt;&gt;"",Tabela_kier[[#This Row],[sem1.forma]],"")</f>
        <v/>
      </c>
      <c r="M60" s="357" t="str">
        <f>IF(Tabela_kier[[#This Row],[sem2.godziny]]&lt;&gt;"",IF(Tabela_kier[[#This Row],[sem2.godziny]]&gt;14,Tabela_kier[[#This Row],[sem2.godziny]]*0.6,Tabela_kier[[#This Row],[sem2.godziny]]),"")</f>
        <v/>
      </c>
      <c r="N60" s="357" t="str" cm="1">
        <f t="array" ref="N60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0" s="357" t="str">
        <f>IF(Tabela_kier[[#This Row],[sem2.forma]]&lt;&gt;"",Tabela_kier[[#This Row],[sem2.forma]],"")</f>
        <v/>
      </c>
      <c r="P60" s="358" t="str">
        <f>IF(Tabela_kier[[#This Row],[sem3.godziny]]&lt;&gt;"",IF(Tabela_kier[[#This Row],[sem3.godziny]]&gt;14,Tabela_kier[[#This Row],[sem3.godziny]]*0.6,Tabela_kier[[#This Row],[sem3.godziny]]),"")</f>
        <v/>
      </c>
      <c r="Q60" s="359" t="str" cm="1">
        <f t="array" ref="Q60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0" s="358" t="str">
        <f>IF(Tabela_kier[[#This Row],[sem3.forma]]&lt;&gt;"",Tabela_kier[[#This Row],[sem3.forma]],"")</f>
        <v/>
      </c>
      <c r="S60" s="355">
        <f>IF(Tabela_kier[[#This Row],[sem4.godziny]]&lt;&gt;"",IF(Tabela_kier[[#This Row],[sem4.godziny]]&gt;14,Tabela_kier[[#This Row],[sem4.godziny]]*0.6,Tabela_kier[[#This Row],[sem4.godziny]]),"")</f>
        <v>18</v>
      </c>
      <c r="T60" s="355">
        <v>3</v>
      </c>
      <c r="U60" s="355" t="str">
        <f>IF(Tabela_kier[[#This Row],[sem4.forma]]&lt;&gt;"",Tabela_kier[[#This Row],[sem4.forma]],"")</f>
        <v>e</v>
      </c>
      <c r="V60" s="216" t="str">
        <f>IF(Tabela_kier[[#This Row],[sem5.godziny]]&lt;&gt;"",IF(Tabela_kier[[#This Row],[sem5.godziny]]&gt;14,Tabela_kier[[#This Row],[sem5.godziny]]*0.6,Tabela_kier[[#This Row],[sem5.godziny]]),"")</f>
        <v/>
      </c>
      <c r="W60" s="216" t="str" cm="1">
        <f t="array" ref="W60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60" s="216" t="str">
        <f>IF(Tabela_kier[[#This Row],[sem5.forma]]&lt;&gt;"",Tabela_kier[[#This Row],[sem5.forma]],"")</f>
        <v/>
      </c>
      <c r="Y60" s="217" t="str">
        <f>IF(Tabela_kier[[#This Row],[sem6.godziny]]&lt;&gt;"",IF(Tabela_kier[[#This Row],[sem6.godziny]]&gt;14,Tabela_kier[[#This Row],[sem6.godziny]]*0.6,Tabela_kier[[#This Row],[sem6.godziny]]),"")</f>
        <v/>
      </c>
      <c r="Z60" s="217" t="str" cm="1">
        <f t="array" ref="Z60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0" s="217" t="str">
        <f>IF(Tabela_kier[[#This Row],[sem6.forma]]&lt;&gt;"",Tabela_kier[[#This Row],[sem6.forma]],"")</f>
        <v/>
      </c>
      <c r="AB60" s="218" t="str">
        <f>IF(Tabela_kier[[#This Row],[sem7.godziny]]&lt;&gt;"",IF(Tabela_kier[[#This Row],[sem7.godziny]]&gt;14,Tabela_kier[[#This Row],[sem7.godziny]]*0.6,Tabela_kier[[#This Row],[sem7.godziny]]),"")</f>
        <v/>
      </c>
      <c r="AC60" s="218" t="str" cm="1">
        <f t="array" ref="AC60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0" s="218" t="str">
        <f>IF(Tabela_kier[[#This Row],[sem7.forma]]&lt;&gt;"",Tabela_kier[[#This Row],[sem7.forma]],"")</f>
        <v/>
      </c>
      <c r="AE60" s="219" t="str">
        <f>IF(Tabela_kier[[#This Row],[sem8.godziny]]&lt;&gt;"",IF(Tabela_kier[[#This Row],[sem8.godziny]]&gt;14,Tabela_kier[[#This Row],[sem8.godziny]]*0.6,Tabela_kier[[#This Row],[sem8.godziny]]),"")</f>
        <v/>
      </c>
      <c r="AF60" s="219" t="str" cm="1">
        <f t="array" ref="AF60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0" s="219" t="str">
        <f>IF(Tabela_kier[[#This Row],[sem8.forma]]&lt;&gt;"",Tabela_kier[[#This Row],[sem8.forma]],"")</f>
        <v/>
      </c>
      <c r="AH60" s="220" t="str">
        <f>IF(Tabela_kier[[#This Row],[sem9.godziny]]&lt;&gt;"",IF(Tabela_kier[[#This Row],[sem9.godziny]]&gt;14,Tabela_kier[[#This Row],[sem9.godziny]]*0.6,Tabela_kier[[#This Row],[sem9.godziny]]),"")</f>
        <v/>
      </c>
      <c r="AI60" s="220" t="str" cm="1">
        <f t="array" ref="AI60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0" s="220" t="str">
        <f>IF(Tabela_kier[[#This Row],[sem9.forma]]&lt;&gt;"",Tabela_kier[[#This Row],[sem9.forma]],"")</f>
        <v/>
      </c>
      <c r="AK60" s="221" t="str">
        <f>IF(Tabela_kier[[#This Row],[sem10.godziny]]&lt;&gt;"",IF(Tabela_kier[[#This Row],[sem10.godziny]]&gt;14,Tabela_kier[[#This Row],[sem10.godziny]]*0.6,Tabela_kier[[#This Row],[sem10.godziny]]),"")</f>
        <v/>
      </c>
      <c r="AL60" s="221" t="str" cm="1">
        <f t="array" ref="AL60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0" s="221" t="str">
        <f>IF(Tabela_kier[[#This Row],[sem10.forma]]&lt;&gt;"",Tabela_kier[[#This Row],[sem10.forma]],"")</f>
        <v/>
      </c>
      <c r="AN60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60" s="389">
        <f>IF(ISERR(SEARCH("UP",Tabela_kier_nst[[#This Row],[Umiej.prakt.]],1)),0,Tabela_kier_nst[[#This Row],[ects.razem]])</f>
        <v>3</v>
      </c>
      <c r="AP60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60" s="391">
        <f>SUM(Tabela_kier_nst[[#This Row],[godziny.samoksztalcenie]],Tabela_kier_nst[[#This Row],[godziny.konsultacja]],Tabela_kier_nst[[#This Row],[godziny.egzamin]],Tabela_kier_nst[[#This Row],[godziny.zajec.razem]])</f>
        <v>52</v>
      </c>
      <c r="AR60" s="392">
        <f>Tabela_kier[[#This Row],[godziny.samoksztalcenie]]+(Tabela_kier[[#This Row],[godziny.zajec.razem]]-Tabela_kier_nst[[#This Row],[godziny.zajec.razem]])</f>
        <v>29</v>
      </c>
      <c r="AS60" s="393">
        <f>Tabela_kier[[#This Row],[godziny.konsultacja]]</f>
        <v>3</v>
      </c>
      <c r="AT60" s="394">
        <f>Tabela_kier[[#This Row],[godziny.egzamin]]</f>
        <v>2</v>
      </c>
      <c r="AU60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60" s="442">
        <f>IF(Tabela_kier_nst[[#This Row],[ects.bezposr.nauczyciel]],Tabela_kier_nst[[#This Row],[ects.bezposr.nauczyciel]]/Tabela_kier_nst[[#This Row],[ects.razem]],0)</f>
        <v>0.33333333333333331</v>
      </c>
      <c r="AW60" s="49"/>
    </row>
    <row r="61" spans="1:49" ht="25.5" customHeight="1" x14ac:dyDescent="0.3">
      <c r="A61" s="207"/>
      <c r="B61" s="443" t="str">
        <f>IF(Tabela_kier[[#This Row],[kod.isced]]&lt;&gt;"",Tabela_kier[[#This Row],[kod.isced]],"")</f>
        <v>0419</v>
      </c>
      <c r="C61" s="437">
        <f>IF(Tabela_kier[[#This Row],[kod.dziedziny]]&lt;&gt;"",Tabela_kier[[#This Row],[kod.dziedziny]],"")</f>
        <v>501</v>
      </c>
      <c r="D61" s="437" t="str">
        <f>IF(Tabela_kier[[#This Row],[Modul]]&lt;&gt;"",Tabela_kier[[#This Row],[Modul]],"")</f>
        <v>kr.10.1</v>
      </c>
      <c r="E61" s="437" t="str">
        <f>IF(Tabela_kier[[#This Row],[Umiej.prakt.]]&lt;&gt;"",Tabela_kier[[#This Row],[Umiej.prakt.]],"")</f>
        <v>up</v>
      </c>
      <c r="F61" s="438" t="str">
        <f>IF(Tabela_kier[[#This Row],[Nazwa przedmiotu]]&lt;&gt;"",Tabela_kier[[#This Row],[Nazwa przedmiotu]],"")</f>
        <v>Zasady prowadzenia działalności gospodarczej</v>
      </c>
      <c r="G61" s="439" t="str">
        <f>IF(Tabela_kier[[#This Row],[Prowadzacy]]&lt;&gt;"",Tabela_kier[[#This Row],[Prowadzacy]],"")</f>
        <v/>
      </c>
      <c r="H61" s="440" t="str">
        <f>IF(Tabela_kier[[#This Row],[Forma]]&lt;&gt;"",Tabela_kier[[#This Row],[Forma]],"")</f>
        <v>konwersatorium</v>
      </c>
      <c r="I61" s="441" t="str">
        <f>IF(Tabela_kier[[#This Row],[czy.ects]]&lt;&gt;"",Tabela_kier[[#This Row],[czy.ects]],"")</f>
        <v>TAK</v>
      </c>
      <c r="J61" s="356" t="str">
        <f>IF(Tabela_kier[[#This Row],[sem1.godziny]]&lt;&gt;"",IF(Tabela_kier[[#This Row],[sem1.godziny]]&gt;14,Tabela_kier[[#This Row],[sem1.godziny]]*0.6,Tabela_kier[[#This Row],[sem1.godziny]]),"")</f>
        <v/>
      </c>
      <c r="K61" s="356" t="str" cm="1">
        <f t="array" ref="K61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1" s="356" t="str">
        <f>IF(Tabela_kier[[#This Row],[sem1.forma]]&lt;&gt;"",Tabela_kier[[#This Row],[sem1.forma]],"")</f>
        <v/>
      </c>
      <c r="M61" s="357" t="str">
        <f>IF(Tabela_kier[[#This Row],[sem2.godziny]]&lt;&gt;"",IF(Tabela_kier[[#This Row],[sem2.godziny]]&gt;14,Tabela_kier[[#This Row],[sem2.godziny]]*0.6,Tabela_kier[[#This Row],[sem2.godziny]]),"")</f>
        <v/>
      </c>
      <c r="N61" s="357"/>
      <c r="O61" s="357" t="str">
        <f>IF(Tabela_kier[[#This Row],[sem2.forma]]&lt;&gt;"",Tabela_kier[[#This Row],[sem2.forma]],"")</f>
        <v/>
      </c>
      <c r="P61" s="358" t="str">
        <f>IF(Tabela_kier[[#This Row],[sem3.godziny]]&lt;&gt;"",IF(Tabela_kier[[#This Row],[sem3.godziny]]&gt;14,Tabela_kier[[#This Row],[sem3.godziny]]*0.6,Tabela_kier[[#This Row],[sem3.godziny]]),"")</f>
        <v/>
      </c>
      <c r="Q61" s="359" t="str" cm="1">
        <f t="array" ref="Q61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1" s="358" t="str">
        <f>IF(Tabela_kier[[#This Row],[sem3.forma]]&lt;&gt;"",Tabela_kier[[#This Row],[sem3.forma]],"")</f>
        <v/>
      </c>
      <c r="S61" s="355">
        <f>IF(Tabela_kier[[#This Row],[sem4.godziny]]&lt;&gt;"",IF(Tabela_kier[[#This Row],[sem4.godziny]]&gt;14,Tabela_kier[[#This Row],[sem4.godziny]]*0.6,Tabela_kier[[#This Row],[sem4.godziny]]),"")</f>
        <v>9</v>
      </c>
      <c r="T61" s="355" cm="1">
        <f t="array" ref="T61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>1</v>
      </c>
      <c r="U61" s="355" t="str">
        <f>IF(Tabela_kier[[#This Row],[sem4.forma]]&lt;&gt;"",Tabela_kier[[#This Row],[sem4.forma]],"")</f>
        <v>z</v>
      </c>
      <c r="V61" s="216" t="str">
        <f>IF(Tabela_kier[[#This Row],[sem5.godziny]]&lt;&gt;"",IF(Tabela_kier[[#This Row],[sem5.godziny]]&gt;14,Tabela_kier[[#This Row],[sem5.godziny]]*0.6,Tabela_kier[[#This Row],[sem5.godziny]]),"")</f>
        <v/>
      </c>
      <c r="W61" s="216" t="str" cm="1">
        <f t="array" ref="W61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61" s="216" t="str">
        <f>IF(Tabela_kier[[#This Row],[sem5.forma]]&lt;&gt;"",Tabela_kier[[#This Row],[sem5.forma]],"")</f>
        <v/>
      </c>
      <c r="Y61" s="217" t="str">
        <f>IF(Tabela_kier[[#This Row],[sem6.godziny]]&lt;&gt;"",IF(Tabela_kier[[#This Row],[sem6.godziny]]&gt;14,Tabela_kier[[#This Row],[sem6.godziny]]*0.6,Tabela_kier[[#This Row],[sem6.godziny]]),"")</f>
        <v/>
      </c>
      <c r="Z61" s="217" t="str" cm="1">
        <f t="array" ref="Z61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1" s="217" t="str">
        <f>IF(Tabela_kier[[#This Row],[sem6.forma]]&lt;&gt;"",Tabela_kier[[#This Row],[sem6.forma]],"")</f>
        <v/>
      </c>
      <c r="AB61" s="218" t="str">
        <f>IF(Tabela_kier[[#This Row],[sem7.godziny]]&lt;&gt;"",IF(Tabela_kier[[#This Row],[sem7.godziny]]&gt;14,Tabela_kier[[#This Row],[sem7.godziny]]*0.6,Tabela_kier[[#This Row],[sem7.godziny]]),"")</f>
        <v/>
      </c>
      <c r="AC61" s="218" t="str" cm="1">
        <f t="array" ref="AC61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1" s="218" t="str">
        <f>IF(Tabela_kier[[#This Row],[sem7.forma]]&lt;&gt;"",Tabela_kier[[#This Row],[sem7.forma]],"")</f>
        <v/>
      </c>
      <c r="AE61" s="219" t="str">
        <f>IF(Tabela_kier[[#This Row],[sem8.godziny]]&lt;&gt;"",IF(Tabela_kier[[#This Row],[sem8.godziny]]&gt;14,Tabela_kier[[#This Row],[sem8.godziny]]*0.6,Tabela_kier[[#This Row],[sem8.godziny]]),"")</f>
        <v/>
      </c>
      <c r="AF61" s="219" t="str" cm="1">
        <f t="array" ref="AF61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1" s="219" t="str">
        <f>IF(Tabela_kier[[#This Row],[sem8.forma]]&lt;&gt;"",Tabela_kier[[#This Row],[sem8.forma]],"")</f>
        <v/>
      </c>
      <c r="AH61" s="220" t="str">
        <f>IF(Tabela_kier[[#This Row],[sem9.godziny]]&lt;&gt;"",IF(Tabela_kier[[#This Row],[sem9.godziny]]&gt;14,Tabela_kier[[#This Row],[sem9.godziny]]*0.6,Tabela_kier[[#This Row],[sem9.godziny]]),"")</f>
        <v/>
      </c>
      <c r="AI61" s="220" t="str" cm="1">
        <f t="array" ref="AI61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1" s="220" t="str">
        <f>IF(Tabela_kier[[#This Row],[sem9.forma]]&lt;&gt;"",Tabela_kier[[#This Row],[sem9.forma]],"")</f>
        <v/>
      </c>
      <c r="AK61" s="221" t="str">
        <f>IF(Tabela_kier[[#This Row],[sem10.godziny]]&lt;&gt;"",IF(Tabela_kier[[#This Row],[sem10.godziny]]&gt;14,Tabela_kier[[#This Row],[sem10.godziny]]*0.6,Tabela_kier[[#This Row],[sem10.godziny]]),"")</f>
        <v/>
      </c>
      <c r="AL61" s="221" t="str" cm="1">
        <f t="array" ref="AL61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1" s="221" t="str">
        <f>IF(Tabela_kier[[#This Row],[sem10.forma]]&lt;&gt;"",Tabela_kier[[#This Row],[sem10.forma]],"")</f>
        <v/>
      </c>
      <c r="AN61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61" s="389">
        <f>IF(ISERR(SEARCH("UP",Tabela_kier_nst[[#This Row],[Umiej.prakt.]],1)),0,Tabela_kier_nst[[#This Row],[ects.razem]])</f>
        <v>1</v>
      </c>
      <c r="AP61" s="390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61" s="391">
        <f>SUM(Tabela_kier_nst[[#This Row],[godziny.samoksztalcenie]],Tabela_kier_nst[[#This Row],[godziny.konsultacja]],Tabela_kier_nst[[#This Row],[godziny.egzamin]],Tabela_kier_nst[[#This Row],[godziny.zajec.razem]])</f>
        <v>27</v>
      </c>
      <c r="AR61" s="392">
        <f>Tabela_kier[[#This Row],[godziny.samoksztalcenie]]+(Tabela_kier[[#This Row],[godziny.zajec.razem]]-Tabela_kier_nst[[#This Row],[godziny.zajec.razem]])</f>
        <v>15</v>
      </c>
      <c r="AS61" s="393">
        <f>Tabela_kier[[#This Row],[godziny.konsultacja]]</f>
        <v>1</v>
      </c>
      <c r="AT61" s="394">
        <f>Tabela_kier[[#This Row],[godziny.egzamin]]</f>
        <v>2</v>
      </c>
      <c r="AU61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61" s="442">
        <f>IF(Tabela_kier_nst[[#This Row],[ects.bezposr.nauczyciel]],Tabela_kier_nst[[#This Row],[ects.bezposr.nauczyciel]]/Tabela_kier_nst[[#This Row],[ects.razem]],0)</f>
        <v>0.5</v>
      </c>
      <c r="AW61" s="49"/>
    </row>
    <row r="62" spans="1:49" ht="25.5" customHeight="1" x14ac:dyDescent="0.3">
      <c r="A62" s="207"/>
      <c r="B62" s="443" t="str">
        <f>IF(Tabela_kier[[#This Row],[kod.isced]]&lt;&gt;"",Tabela_kier[[#This Row],[kod.isced]],"")</f>
        <v>0419</v>
      </c>
      <c r="C62" s="437">
        <f>IF(Tabela_kier[[#This Row],[kod.dziedziny]]&lt;&gt;"",Tabela_kier[[#This Row],[kod.dziedziny]],"")</f>
        <v>501</v>
      </c>
      <c r="D62" s="437" t="str">
        <f>IF(Tabela_kier[[#This Row],[Modul]]&lt;&gt;"",Tabela_kier[[#This Row],[Modul]],"")</f>
        <v>kr.10.2</v>
      </c>
      <c r="E62" s="437" t="str">
        <f>IF(Tabela_kier[[#This Row],[Umiej.prakt.]]&lt;&gt;"",Tabela_kier[[#This Row],[Umiej.prakt.]],"")</f>
        <v>up</v>
      </c>
      <c r="F62" s="438" t="str">
        <f>IF(Tabela_kier[[#This Row],[Nazwa przedmiotu]]&lt;&gt;"",Tabela_kier[[#This Row],[Nazwa przedmiotu]],"")</f>
        <v>Zasady prowadzenia działalności gospodarczej</v>
      </c>
      <c r="G62" s="439" t="str">
        <f>IF(Tabela_kier[[#This Row],[Prowadzacy]]&lt;&gt;"",Tabela_kier[[#This Row],[Prowadzacy]],"")</f>
        <v/>
      </c>
      <c r="H62" s="440" t="str">
        <f>IF(Tabela_kier[[#This Row],[Forma]]&lt;&gt;"",Tabela_kier[[#This Row],[Forma]],"")</f>
        <v>ćwiczenia</v>
      </c>
      <c r="I62" s="441" t="str">
        <f>IF(Tabela_kier[[#This Row],[czy.ects]]&lt;&gt;"",Tabela_kier[[#This Row],[czy.ects]],"")</f>
        <v>TAK</v>
      </c>
      <c r="J62" s="356" t="str">
        <f>IF(Tabela_kier[[#This Row],[sem1.godziny]]&lt;&gt;"",IF(Tabela_kier[[#This Row],[sem1.godziny]]&gt;14,Tabela_kier[[#This Row],[sem1.godziny]]*0.6,Tabela_kier[[#This Row],[sem1.godziny]]),"")</f>
        <v/>
      </c>
      <c r="K62" s="356" t="str" cm="1">
        <f t="array" ref="K62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2" s="356" t="str">
        <f>IF(Tabela_kier[[#This Row],[sem1.forma]]&lt;&gt;"",Tabela_kier[[#This Row],[sem1.forma]],"")</f>
        <v/>
      </c>
      <c r="M62" s="357" t="str">
        <f>IF(Tabela_kier[[#This Row],[sem2.godziny]]&lt;&gt;"",IF(Tabela_kier[[#This Row],[sem2.godziny]]&gt;14,Tabela_kier[[#This Row],[sem2.godziny]]*0.6,Tabela_kier[[#This Row],[sem2.godziny]]),"")</f>
        <v/>
      </c>
      <c r="N62" s="357" t="str" cm="1">
        <f t="array" ref="N62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2" s="357" t="str">
        <f>IF(Tabela_kier[[#This Row],[sem2.forma]]&lt;&gt;"",Tabela_kier[[#This Row],[sem2.forma]],"")</f>
        <v/>
      </c>
      <c r="P62" s="358" t="str">
        <f>IF(Tabela_kier[[#This Row],[sem3.godziny]]&lt;&gt;"",IF(Tabela_kier[[#This Row],[sem3.godziny]]&gt;14,Tabela_kier[[#This Row],[sem3.godziny]]*0.6,Tabela_kier[[#This Row],[sem3.godziny]]),"")</f>
        <v/>
      </c>
      <c r="Q62" s="359" t="str" cm="1">
        <f t="array" ref="Q62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2" s="358" t="str">
        <f>IF(Tabela_kier[[#This Row],[sem3.forma]]&lt;&gt;"",Tabela_kier[[#This Row],[sem3.forma]],"")</f>
        <v/>
      </c>
      <c r="S62" s="355">
        <f>IF(Tabela_kier[[#This Row],[sem4.godziny]]&lt;&gt;"",IF(Tabela_kier[[#This Row],[sem4.godziny]]&gt;14,Tabela_kier[[#This Row],[sem4.godziny]]*0.6,Tabela_kier[[#This Row],[sem4.godziny]]),"")</f>
        <v>18</v>
      </c>
      <c r="T62" s="355">
        <v>3</v>
      </c>
      <c r="U62" s="355" t="str">
        <f>IF(Tabela_kier[[#This Row],[sem4.forma]]&lt;&gt;"",Tabela_kier[[#This Row],[sem4.forma]],"")</f>
        <v>z</v>
      </c>
      <c r="V62" s="216" t="str">
        <f>IF(Tabela_kier[[#This Row],[sem5.godziny]]&lt;&gt;"",IF(Tabela_kier[[#This Row],[sem5.godziny]]&gt;14,Tabela_kier[[#This Row],[sem5.godziny]]*0.6,Tabela_kier[[#This Row],[sem5.godziny]]),"")</f>
        <v/>
      </c>
      <c r="W62" s="216" t="str" cm="1">
        <f t="array" ref="W62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62" s="216" t="str">
        <f>IF(Tabela_kier[[#This Row],[sem5.forma]]&lt;&gt;"",Tabela_kier[[#This Row],[sem5.forma]],"")</f>
        <v/>
      </c>
      <c r="Y62" s="217" t="str">
        <f>IF(Tabela_kier[[#This Row],[sem6.godziny]]&lt;&gt;"",IF(Tabela_kier[[#This Row],[sem6.godziny]]&gt;14,Tabela_kier[[#This Row],[sem6.godziny]]*0.6,Tabela_kier[[#This Row],[sem6.godziny]]),"")</f>
        <v/>
      </c>
      <c r="Z62" s="217" t="str" cm="1">
        <f t="array" ref="Z62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2" s="217" t="str">
        <f>IF(Tabela_kier[[#This Row],[sem6.forma]]&lt;&gt;"",Tabela_kier[[#This Row],[sem6.forma]],"")</f>
        <v/>
      </c>
      <c r="AB62" s="218" t="str">
        <f>IF(Tabela_kier[[#This Row],[sem7.godziny]]&lt;&gt;"",IF(Tabela_kier[[#This Row],[sem7.godziny]]&gt;14,Tabela_kier[[#This Row],[sem7.godziny]]*0.6,Tabela_kier[[#This Row],[sem7.godziny]]),"")</f>
        <v/>
      </c>
      <c r="AC62" s="218" t="str" cm="1">
        <f t="array" ref="AC62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2" s="218" t="str">
        <f>IF(Tabela_kier[[#This Row],[sem7.forma]]&lt;&gt;"",Tabela_kier[[#This Row],[sem7.forma]],"")</f>
        <v/>
      </c>
      <c r="AE62" s="219" t="str">
        <f>IF(Tabela_kier[[#This Row],[sem8.godziny]]&lt;&gt;"",IF(Tabela_kier[[#This Row],[sem8.godziny]]&gt;14,Tabela_kier[[#This Row],[sem8.godziny]]*0.6,Tabela_kier[[#This Row],[sem8.godziny]]),"")</f>
        <v/>
      </c>
      <c r="AF62" s="219" t="str" cm="1">
        <f t="array" ref="AF62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2" s="219" t="str">
        <f>IF(Tabela_kier[[#This Row],[sem8.forma]]&lt;&gt;"",Tabela_kier[[#This Row],[sem8.forma]],"")</f>
        <v/>
      </c>
      <c r="AH62" s="220" t="str">
        <f>IF(Tabela_kier[[#This Row],[sem9.godziny]]&lt;&gt;"",IF(Tabela_kier[[#This Row],[sem9.godziny]]&gt;14,Tabela_kier[[#This Row],[sem9.godziny]]*0.6,Tabela_kier[[#This Row],[sem9.godziny]]),"")</f>
        <v/>
      </c>
      <c r="AI62" s="220" t="str" cm="1">
        <f t="array" ref="AI62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2" s="220" t="str">
        <f>IF(Tabela_kier[[#This Row],[sem9.forma]]&lt;&gt;"",Tabela_kier[[#This Row],[sem9.forma]],"")</f>
        <v/>
      </c>
      <c r="AK62" s="221" t="str">
        <f>IF(Tabela_kier[[#This Row],[sem10.godziny]]&lt;&gt;"",IF(Tabela_kier[[#This Row],[sem10.godziny]]&gt;14,Tabela_kier[[#This Row],[sem10.godziny]]*0.6,Tabela_kier[[#This Row],[sem10.godziny]]),"")</f>
        <v/>
      </c>
      <c r="AL62" s="221" t="str" cm="1">
        <f t="array" ref="AL62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2" s="221" t="str">
        <f>IF(Tabela_kier[[#This Row],[sem10.forma]]&lt;&gt;"",Tabela_kier[[#This Row],[sem10.forma]],"")</f>
        <v/>
      </c>
      <c r="AN62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62" s="389">
        <f>IF(ISERR(SEARCH("UP",Tabela_kier_nst[[#This Row],[Umiej.prakt.]],1)),0,Tabela_kier_nst[[#This Row],[ects.razem]])</f>
        <v>3</v>
      </c>
      <c r="AP62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62" s="391">
        <f>SUM(Tabela_kier_nst[[#This Row],[godziny.samoksztalcenie]],Tabela_kier_nst[[#This Row],[godziny.konsultacja]],Tabela_kier_nst[[#This Row],[godziny.egzamin]],Tabela_kier_nst[[#This Row],[godziny.zajec.razem]])</f>
        <v>52</v>
      </c>
      <c r="AR62" s="392">
        <f>Tabela_kier[[#This Row],[godziny.samoksztalcenie]]+(Tabela_kier[[#This Row],[godziny.zajec.razem]]-Tabela_kier_nst[[#This Row],[godziny.zajec.razem]])</f>
        <v>29</v>
      </c>
      <c r="AS62" s="393">
        <f>Tabela_kier[[#This Row],[godziny.konsultacja]]</f>
        <v>3</v>
      </c>
      <c r="AT62" s="394">
        <f>Tabela_kier[[#This Row],[godziny.egzamin]]</f>
        <v>2</v>
      </c>
      <c r="AU62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62" s="442">
        <f>IF(Tabela_kier_nst[[#This Row],[ects.bezposr.nauczyciel]],Tabela_kier_nst[[#This Row],[ects.bezposr.nauczyciel]]/Tabela_kier_nst[[#This Row],[ects.razem]],0)</f>
        <v>0.33333333333333331</v>
      </c>
      <c r="AW62" s="49"/>
    </row>
    <row r="63" spans="1:49" ht="25.5" customHeight="1" x14ac:dyDescent="0.3">
      <c r="A63" s="207"/>
      <c r="B63" s="443" t="str">
        <f>IF(Tabela_kier[[#This Row],[kod.isced]]&lt;&gt;"",Tabela_kier[[#This Row],[kod.isced]],"")</f>
        <v>0412</v>
      </c>
      <c r="C63" s="437">
        <f>IF(Tabela_kier[[#This Row],[kod.dziedziny]]&lt;&gt;"",Tabela_kier[[#This Row],[kod.dziedziny]],"")</f>
        <v>501</v>
      </c>
      <c r="D63" s="437" t="str">
        <f>IF(Tabela_kier[[#This Row],[Modul]]&lt;&gt;"",Tabela_kier[[#This Row],[Modul]],"")</f>
        <v>kr.11.1</v>
      </c>
      <c r="E63" s="437" t="str">
        <f>IF(Tabela_kier[[#This Row],[Umiej.prakt.]]&lt;&gt;"",Tabela_kier[[#This Row],[Umiej.prakt.]],"")</f>
        <v/>
      </c>
      <c r="F63" s="438" t="str">
        <f>IF(Tabela_kier[[#This Row],[Nazwa przedmiotu]]&lt;&gt;"",Tabela_kier[[#This Row],[Nazwa przedmiotu]],"")</f>
        <v>Ubezpieczenia</v>
      </c>
      <c r="G63" s="439" t="str">
        <f>IF(Tabela_kier[[#This Row],[Prowadzacy]]&lt;&gt;"",Tabela_kier[[#This Row],[Prowadzacy]],"")</f>
        <v/>
      </c>
      <c r="H63" s="440" t="str">
        <f>IF(Tabela_kier[[#This Row],[Forma]]&lt;&gt;"",Tabela_kier[[#This Row],[Forma]],"")</f>
        <v>konwersatorium</v>
      </c>
      <c r="I63" s="441" t="str">
        <f>IF(Tabela_kier[[#This Row],[czy.ects]]&lt;&gt;"",Tabela_kier[[#This Row],[czy.ects]],"")</f>
        <v>TAK</v>
      </c>
      <c r="J63" s="356" t="str">
        <f>IF(Tabela_kier[[#This Row],[sem1.godziny]]&lt;&gt;"",IF(Tabela_kier[[#This Row],[sem1.godziny]]&gt;14,Tabela_kier[[#This Row],[sem1.godziny]]*0.6,Tabela_kier[[#This Row],[sem1.godziny]]),"")</f>
        <v/>
      </c>
      <c r="K63" s="356" t="str" cm="1">
        <f t="array" ref="K63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3" s="356" t="str">
        <f>IF(Tabela_kier[[#This Row],[sem1.forma]]&lt;&gt;"",Tabela_kier[[#This Row],[sem1.forma]],"")</f>
        <v/>
      </c>
      <c r="M63" s="357" t="str">
        <f>IF(Tabela_kier[[#This Row],[sem2.godziny]]&lt;&gt;"",IF(Tabela_kier[[#This Row],[sem2.godziny]]&gt;14,Tabela_kier[[#This Row],[sem2.godziny]]*0.6,Tabela_kier[[#This Row],[sem2.godziny]]),"")</f>
        <v/>
      </c>
      <c r="N63" s="357" t="str" cm="1">
        <f t="array" ref="N63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3" s="357" t="str">
        <f>IF(Tabela_kier[[#This Row],[sem2.forma]]&lt;&gt;"",Tabela_kier[[#This Row],[sem2.forma]],"")</f>
        <v/>
      </c>
      <c r="P63" s="358" t="str">
        <f>IF(Tabela_kier[[#This Row],[sem3.godziny]]&lt;&gt;"",IF(Tabela_kier[[#This Row],[sem3.godziny]]&gt;14,Tabela_kier[[#This Row],[sem3.godziny]]*0.6,Tabela_kier[[#This Row],[sem3.godziny]]),"")</f>
        <v/>
      </c>
      <c r="Q63" s="359" t="str" cm="1">
        <f t="array" ref="Q63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3" s="358" t="str">
        <f>IF(Tabela_kier[[#This Row],[sem3.forma]]&lt;&gt;"",Tabela_kier[[#This Row],[sem3.forma]],"")</f>
        <v/>
      </c>
      <c r="S63" s="355">
        <f>IF(Tabela_kier[[#This Row],[sem4.godziny]]&lt;&gt;"",IF(Tabela_kier[[#This Row],[sem4.godziny]]&gt;14,Tabela_kier[[#This Row],[sem4.godziny]]*0.6,Tabela_kier[[#This Row],[sem4.godziny]]),"")</f>
        <v>9</v>
      </c>
      <c r="T63" s="355">
        <v>1</v>
      </c>
      <c r="U63" s="355" t="str">
        <f>IF(Tabela_kier[[#This Row],[sem4.forma]]&lt;&gt;"",Tabela_kier[[#This Row],[sem4.forma]],"")</f>
        <v>z</v>
      </c>
      <c r="V63" s="216" t="str">
        <f>IF(Tabela_kier[[#This Row],[sem5.godziny]]&lt;&gt;"",IF(Tabela_kier[[#This Row],[sem5.godziny]]&gt;14,Tabela_kier[[#This Row],[sem5.godziny]]*0.6,Tabela_kier[[#This Row],[sem5.godziny]]),"")</f>
        <v/>
      </c>
      <c r="W63" s="216" t="str" cm="1">
        <f t="array" ref="W63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63" s="216" t="str">
        <f>IF(Tabela_kier[[#This Row],[sem5.forma]]&lt;&gt;"",Tabela_kier[[#This Row],[sem5.forma]],"")</f>
        <v/>
      </c>
      <c r="Y63" s="217" t="str">
        <f>IF(Tabela_kier[[#This Row],[sem6.godziny]]&lt;&gt;"",IF(Tabela_kier[[#This Row],[sem6.godziny]]&gt;14,Tabela_kier[[#This Row],[sem6.godziny]]*0.6,Tabela_kier[[#This Row],[sem6.godziny]]),"")</f>
        <v/>
      </c>
      <c r="Z63" s="217" t="str" cm="1">
        <f t="array" ref="Z63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3" s="217" t="str">
        <f>IF(Tabela_kier[[#This Row],[sem6.forma]]&lt;&gt;"",Tabela_kier[[#This Row],[sem6.forma]],"")</f>
        <v/>
      </c>
      <c r="AB63" s="218" t="str">
        <f>IF(Tabela_kier[[#This Row],[sem7.godziny]]&lt;&gt;"",IF(Tabela_kier[[#This Row],[sem7.godziny]]&gt;14,Tabela_kier[[#This Row],[sem7.godziny]]*0.6,Tabela_kier[[#This Row],[sem7.godziny]]),"")</f>
        <v/>
      </c>
      <c r="AC63" s="218" t="str" cm="1">
        <f t="array" ref="AC63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3" s="218" t="str">
        <f>IF(Tabela_kier[[#This Row],[sem7.forma]]&lt;&gt;"",Tabela_kier[[#This Row],[sem7.forma]],"")</f>
        <v/>
      </c>
      <c r="AE63" s="219" t="str">
        <f>IF(Tabela_kier[[#This Row],[sem8.godziny]]&lt;&gt;"",IF(Tabela_kier[[#This Row],[sem8.godziny]]&gt;14,Tabela_kier[[#This Row],[sem8.godziny]]*0.6,Tabela_kier[[#This Row],[sem8.godziny]]),"")</f>
        <v/>
      </c>
      <c r="AF63" s="219" t="str" cm="1">
        <f t="array" ref="AF63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3" s="219" t="str">
        <f>IF(Tabela_kier[[#This Row],[sem8.forma]]&lt;&gt;"",Tabela_kier[[#This Row],[sem8.forma]],"")</f>
        <v/>
      </c>
      <c r="AH63" s="220" t="str">
        <f>IF(Tabela_kier[[#This Row],[sem9.godziny]]&lt;&gt;"",IF(Tabela_kier[[#This Row],[sem9.godziny]]&gt;14,Tabela_kier[[#This Row],[sem9.godziny]]*0.6,Tabela_kier[[#This Row],[sem9.godziny]]),"")</f>
        <v/>
      </c>
      <c r="AI63" s="220" t="str" cm="1">
        <f t="array" ref="AI63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3" s="220" t="str">
        <f>IF(Tabela_kier[[#This Row],[sem9.forma]]&lt;&gt;"",Tabela_kier[[#This Row],[sem9.forma]],"")</f>
        <v/>
      </c>
      <c r="AK63" s="221" t="str">
        <f>IF(Tabela_kier[[#This Row],[sem10.godziny]]&lt;&gt;"",IF(Tabela_kier[[#This Row],[sem10.godziny]]&gt;14,Tabela_kier[[#This Row],[sem10.godziny]]*0.6,Tabela_kier[[#This Row],[sem10.godziny]]),"")</f>
        <v/>
      </c>
      <c r="AL63" s="221" t="str" cm="1">
        <f t="array" ref="AL63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3" s="221" t="str">
        <f>IF(Tabela_kier[[#This Row],[sem10.forma]]&lt;&gt;"",Tabela_kier[[#This Row],[sem10.forma]],"")</f>
        <v/>
      </c>
      <c r="AN63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63" s="389">
        <f>IF(ISERR(SEARCH("UP",Tabela_kier_nst[[#This Row],[Umiej.prakt.]],1)),0,Tabela_kier_nst[[#This Row],[ects.razem]])</f>
        <v>0</v>
      </c>
      <c r="AP63" s="390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63" s="391">
        <f>SUM(Tabela_kier_nst[[#This Row],[godziny.samoksztalcenie]],Tabela_kier_nst[[#This Row],[godziny.konsultacja]],Tabela_kier_nst[[#This Row],[godziny.egzamin]],Tabela_kier_nst[[#This Row],[godziny.zajec.razem]])</f>
        <v>27</v>
      </c>
      <c r="AR63" s="392">
        <f>Tabela_kier[[#This Row],[godziny.samoksztalcenie]]+(Tabela_kier[[#This Row],[godziny.zajec.razem]]-Tabela_kier_nst[[#This Row],[godziny.zajec.razem]])</f>
        <v>15</v>
      </c>
      <c r="AS63" s="393">
        <f>Tabela_kier[[#This Row],[godziny.konsultacja]]</f>
        <v>1</v>
      </c>
      <c r="AT63" s="394">
        <f>Tabela_kier[[#This Row],[godziny.egzamin]]</f>
        <v>2</v>
      </c>
      <c r="AU63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63" s="442">
        <f>IF(Tabela_kier_nst[[#This Row],[ects.bezposr.nauczyciel]],Tabela_kier_nst[[#This Row],[ects.bezposr.nauczyciel]]/Tabela_kier_nst[[#This Row],[ects.razem]],0)</f>
        <v>0.5</v>
      </c>
      <c r="AW63" s="49"/>
    </row>
    <row r="64" spans="1:49" ht="25.5" customHeight="1" x14ac:dyDescent="0.3">
      <c r="A64" s="207"/>
      <c r="B64" s="443" t="str">
        <f>IF(Tabela_kier[[#This Row],[kod.isced]]&lt;&gt;"",Tabela_kier[[#This Row],[kod.isced]],"")</f>
        <v>0421</v>
      </c>
      <c r="C64" s="437">
        <f>IF(Tabela_kier[[#This Row],[kod.dziedziny]]&lt;&gt;"",Tabela_kier[[#This Row],[kod.dziedziny]],"")</f>
        <v>507</v>
      </c>
      <c r="D64" s="437" t="str">
        <f>IF(Tabela_kier[[#This Row],[Modul]]&lt;&gt;"",Tabela_kier[[#This Row],[Modul]],"")</f>
        <v>kr.12.1</v>
      </c>
      <c r="E64" s="437" t="str">
        <f>IF(Tabela_kier[[#This Row],[Umiej.prakt.]]&lt;&gt;"",Tabela_kier[[#This Row],[Umiej.prakt.]],"")</f>
        <v/>
      </c>
      <c r="F64" s="438" t="str">
        <f>IF(Tabela_kier[[#This Row],[Nazwa przedmiotu]]&lt;&gt;"",Tabela_kier[[#This Row],[Nazwa przedmiotu]],"")</f>
        <v>Prawo gospodarcze</v>
      </c>
      <c r="G64" s="439" t="str">
        <f>IF(Tabela_kier[[#This Row],[Prowadzacy]]&lt;&gt;"",Tabela_kier[[#This Row],[Prowadzacy]],"")</f>
        <v/>
      </c>
      <c r="H64" s="440" t="str">
        <f>IF(Tabela_kier[[#This Row],[Forma]]&lt;&gt;"",Tabela_kier[[#This Row],[Forma]],"")</f>
        <v>konwersatorium</v>
      </c>
      <c r="I64" s="441" t="str">
        <f>IF(Tabela_kier[[#This Row],[czy.ects]]&lt;&gt;"",Tabela_kier[[#This Row],[czy.ects]],"")</f>
        <v>TAK</v>
      </c>
      <c r="J64" s="369" t="str">
        <f>IF(Tabela_kier[[#This Row],[sem1.godziny]]&lt;&gt;"",IF(Tabela_kier[[#This Row],[sem1.godziny]]&gt;14,Tabela_kier[[#This Row],[sem1.godziny]]*0.6,Tabela_kier[[#This Row],[sem1.godziny]]),"")</f>
        <v/>
      </c>
      <c r="K64" s="369" t="str" cm="1">
        <f t="array" ref="K64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4" s="369" t="str">
        <f>IF(Tabela_kier[[#This Row],[sem1.forma]]&lt;&gt;"",Tabela_kier[[#This Row],[sem1.forma]],"")</f>
        <v/>
      </c>
      <c r="M64" s="371" t="str">
        <f>IF(Tabela_kier[[#This Row],[sem2.godziny]]&lt;&gt;"",IF(Tabela_kier[[#This Row],[sem2.godziny]]&gt;14,Tabela_kier[[#This Row],[sem2.godziny]]*0.6,Tabela_kier[[#This Row],[sem2.godziny]]),"")</f>
        <v/>
      </c>
      <c r="N64" s="371" t="str" cm="1">
        <f t="array" ref="N64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4" s="371" t="str">
        <f>IF(Tabela_kier[[#This Row],[sem2.forma]]&lt;&gt;"",Tabela_kier[[#This Row],[sem2.forma]],"")</f>
        <v/>
      </c>
      <c r="P64" s="677" t="str">
        <f>IF(Tabela_kier[[#This Row],[sem3.godziny]]&lt;&gt;"",IF(Tabela_kier[[#This Row],[sem3.godziny]]&gt;14,Tabela_kier[[#This Row],[sem3.godziny]]*0.6,Tabela_kier[[#This Row],[sem3.godziny]]),"")</f>
        <v/>
      </c>
      <c r="Q64" s="373" t="str" cm="1">
        <f t="array" ref="Q64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4" s="677" t="str">
        <f>IF(Tabela_kier[[#This Row],[sem3.forma]]&lt;&gt;"",Tabela_kier[[#This Row],[sem3.forma]],"")</f>
        <v/>
      </c>
      <c r="S64" s="375">
        <f>IF(Tabela_kier[[#This Row],[sem4.godziny]]&lt;&gt;"",IF(Tabela_kier[[#This Row],[sem4.godziny]]&gt;14,Tabela_kier[[#This Row],[sem4.godziny]]*0.6,Tabela_kier[[#This Row],[sem4.godziny]]),"")</f>
        <v>18</v>
      </c>
      <c r="T64" s="375">
        <v>3</v>
      </c>
      <c r="U64" s="375" t="str">
        <f>IF(Tabela_kier[[#This Row],[sem4.forma]]&lt;&gt;"",Tabela_kier[[#This Row],[sem4.forma]],"")</f>
        <v>z</v>
      </c>
      <c r="V64" s="377" t="str">
        <f>IF(Tabela_kier[[#This Row],[sem5.godziny]]&lt;&gt;"",IF(Tabela_kier[[#This Row],[sem5.godziny]]&gt;14,Tabela_kier[[#This Row],[sem5.godziny]]*0.6,Tabela_kier[[#This Row],[sem5.godziny]]),"")</f>
        <v/>
      </c>
      <c r="W64" s="377" t="str" cm="1">
        <f t="array" ref="W64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64" s="377" t="str">
        <f>IF(Tabela_kier[[#This Row],[sem5.forma]]&lt;&gt;"",Tabela_kier[[#This Row],[sem5.forma]],"")</f>
        <v/>
      </c>
      <c r="Y64" s="379" t="str">
        <f>IF(Tabela_kier[[#This Row],[sem6.godziny]]&lt;&gt;"",IF(Tabela_kier[[#This Row],[sem6.godziny]]&gt;14,Tabela_kier[[#This Row],[sem6.godziny]]*0.6,Tabela_kier[[#This Row],[sem6.godziny]]),"")</f>
        <v/>
      </c>
      <c r="Z64" s="379" t="str" cm="1">
        <f t="array" ref="Z64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4" s="379" t="str">
        <f>IF(Tabela_kier[[#This Row],[sem6.forma]]&lt;&gt;"",Tabela_kier[[#This Row],[sem6.forma]],"")</f>
        <v/>
      </c>
      <c r="AB64" s="381" t="str">
        <f>IF(Tabela_kier[[#This Row],[sem7.godziny]]&lt;&gt;"",IF(Tabela_kier[[#This Row],[sem7.godziny]]&gt;14,Tabela_kier[[#This Row],[sem7.godziny]]*0.6,Tabela_kier[[#This Row],[sem7.godziny]]),"")</f>
        <v/>
      </c>
      <c r="AC64" s="381" t="str" cm="1">
        <f t="array" ref="AC64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4" s="381" t="str">
        <f>IF(Tabela_kier[[#This Row],[sem7.forma]]&lt;&gt;"",Tabela_kier[[#This Row],[sem7.forma]],"")</f>
        <v/>
      </c>
      <c r="AE64" s="383" t="str">
        <f>IF(Tabela_kier[[#This Row],[sem8.godziny]]&lt;&gt;"",IF(Tabela_kier[[#This Row],[sem8.godziny]]&gt;14,Tabela_kier[[#This Row],[sem8.godziny]]*0.6,Tabela_kier[[#This Row],[sem8.godziny]]),"")</f>
        <v/>
      </c>
      <c r="AF64" s="383" t="str" cm="1">
        <f t="array" ref="AF64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4" s="383" t="str">
        <f>IF(Tabela_kier[[#This Row],[sem8.forma]]&lt;&gt;"",Tabela_kier[[#This Row],[sem8.forma]],"")</f>
        <v/>
      </c>
      <c r="AH64" s="385" t="str">
        <f>IF(Tabela_kier[[#This Row],[sem9.godziny]]&lt;&gt;"",IF(Tabela_kier[[#This Row],[sem9.godziny]]&gt;14,Tabela_kier[[#This Row],[sem9.godziny]]*0.6,Tabela_kier[[#This Row],[sem9.godziny]]),"")</f>
        <v/>
      </c>
      <c r="AI64" s="385" t="str" cm="1">
        <f t="array" ref="AI64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4" s="385" t="str">
        <f>IF(Tabela_kier[[#This Row],[sem9.forma]]&lt;&gt;"",Tabela_kier[[#This Row],[sem9.forma]],"")</f>
        <v/>
      </c>
      <c r="AK64" s="387" t="str">
        <f>IF(Tabela_kier[[#This Row],[sem10.godziny]]&lt;&gt;"",IF(Tabela_kier[[#This Row],[sem10.godziny]]&gt;14,Tabela_kier[[#This Row],[sem10.godziny]]*0.6,Tabela_kier[[#This Row],[sem10.godziny]]),"")</f>
        <v/>
      </c>
      <c r="AL64" s="387" t="str" cm="1">
        <f t="array" ref="AL64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4" s="387" t="str">
        <f>IF(Tabela_kier[[#This Row],[sem10.forma]]&lt;&gt;"",Tabela_kier[[#This Row],[sem10.forma]],"")</f>
        <v/>
      </c>
      <c r="AN64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64" s="389">
        <f>IF(ISERR(SEARCH("UP",Tabela_kier_nst[[#This Row],[Umiej.prakt.]],1)),0,Tabela_kier_nst[[#This Row],[ects.razem]])</f>
        <v>0</v>
      </c>
      <c r="AP64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64" s="391">
        <f>SUM(Tabela_kier_nst[[#This Row],[godziny.samoksztalcenie]],Tabela_kier_nst[[#This Row],[godziny.konsultacja]],Tabela_kier_nst[[#This Row],[godziny.egzamin]],Tabela_kier_nst[[#This Row],[godziny.zajec.razem]])</f>
        <v>52</v>
      </c>
      <c r="AR64" s="392">
        <f>Tabela_kier[[#This Row],[godziny.samoksztalcenie]]+(Tabela_kier[[#This Row],[godziny.zajec.razem]]-Tabela_kier_nst[[#This Row],[godziny.zajec.razem]])</f>
        <v>29</v>
      </c>
      <c r="AS64" s="393">
        <f>Tabela_kier[[#This Row],[godziny.konsultacja]]</f>
        <v>3</v>
      </c>
      <c r="AT64" s="394">
        <f>Tabela_kier[[#This Row],[godziny.egzamin]]</f>
        <v>2</v>
      </c>
      <c r="AU64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64" s="442">
        <f>IF(Tabela_kier_nst[[#This Row],[ects.bezposr.nauczyciel]],Tabela_kier_nst[[#This Row],[ects.bezposr.nauczyciel]]/Tabela_kier_nst[[#This Row],[ects.razem]],0)</f>
        <v>0.33333333333333331</v>
      </c>
      <c r="AW64" s="49"/>
    </row>
    <row r="65" spans="1:49" ht="25.5" customHeight="1" x14ac:dyDescent="0.3">
      <c r="A65" s="207"/>
      <c r="B65" s="443" t="str">
        <f>IF(Tabela_kier[[#This Row],[kod.isced]]&lt;&gt;"",Tabela_kier[[#This Row],[kod.isced]],"")</f>
        <v>0411</v>
      </c>
      <c r="C65" s="437">
        <f>IF(Tabela_kier[[#This Row],[kod.dziedziny]]&lt;&gt;"",Tabela_kier[[#This Row],[kod.dziedziny]],"")</f>
        <v>501</v>
      </c>
      <c r="D65" s="437" t="str">
        <f>IF(Tabela_kier[[#This Row],[Modul]]&lt;&gt;"",Tabela_kier[[#This Row],[Modul]],"")</f>
        <v>kr.13.1</v>
      </c>
      <c r="E65" s="437" t="str">
        <f>IF(Tabela_kier[[#This Row],[Umiej.prakt.]]&lt;&gt;"",Tabela_kier[[#This Row],[Umiej.prakt.]],"")</f>
        <v>up</v>
      </c>
      <c r="F65" s="438" t="str">
        <f>IF(Tabela_kier[[#This Row],[Nazwa przedmiotu]]&lt;&gt;"",Tabela_kier[[#This Row],[Nazwa przedmiotu]],"")</f>
        <v>Podstawy rachunku kosztów</v>
      </c>
      <c r="G65" s="439" t="str">
        <f>IF(Tabela_kier[[#This Row],[Prowadzacy]]&lt;&gt;"",Tabela_kier[[#This Row],[Prowadzacy]],"")</f>
        <v/>
      </c>
      <c r="H65" s="440" t="str">
        <f>IF(Tabela_kier[[#This Row],[Forma]]&lt;&gt;"",Tabela_kier[[#This Row],[Forma]],"")</f>
        <v>konwersatorium</v>
      </c>
      <c r="I65" s="441" t="str">
        <f>IF(Tabela_kier[[#This Row],[czy.ects]]&lt;&gt;"",Tabela_kier[[#This Row],[czy.ects]],"")</f>
        <v>TAK</v>
      </c>
      <c r="J65" s="369" t="str">
        <f>IF(Tabela_kier[[#This Row],[sem1.godziny]]&lt;&gt;"",IF(Tabela_kier[[#This Row],[sem1.godziny]]&gt;14,Tabela_kier[[#This Row],[sem1.godziny]]*0.6,Tabela_kier[[#This Row],[sem1.godziny]]),"")</f>
        <v/>
      </c>
      <c r="K65" s="369" t="str" cm="1">
        <f t="array" ref="K65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5" s="369" t="str">
        <f>IF(Tabela_kier[[#This Row],[sem1.forma]]&lt;&gt;"",Tabela_kier[[#This Row],[sem1.forma]],"")</f>
        <v/>
      </c>
      <c r="M65" s="371" t="str">
        <f>IF(Tabela_kier[[#This Row],[sem2.godziny]]&lt;&gt;"",IF(Tabela_kier[[#This Row],[sem2.godziny]]&gt;14,Tabela_kier[[#This Row],[sem2.godziny]]*0.6,Tabela_kier[[#This Row],[sem2.godziny]]),"")</f>
        <v/>
      </c>
      <c r="N65" s="371" t="str" cm="1">
        <f t="array" ref="N65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5" s="371" t="str">
        <f>IF(Tabela_kier[[#This Row],[sem2.forma]]&lt;&gt;"",Tabela_kier[[#This Row],[sem2.forma]],"")</f>
        <v/>
      </c>
      <c r="P65" s="677" t="str">
        <f>IF(Tabela_kier[[#This Row],[sem3.godziny]]&lt;&gt;"",IF(Tabela_kier[[#This Row],[sem3.godziny]]&gt;14,Tabela_kier[[#This Row],[sem3.godziny]]*0.6,Tabela_kier[[#This Row],[sem3.godziny]]),"")</f>
        <v/>
      </c>
      <c r="Q65" s="373" t="str" cm="1">
        <f t="array" ref="Q65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5" s="677" t="str">
        <f>IF(Tabela_kier[[#This Row],[sem3.forma]]&lt;&gt;"",Tabela_kier[[#This Row],[sem3.forma]],"")</f>
        <v/>
      </c>
      <c r="S65" s="375" t="str">
        <f>IF(Tabela_kier[[#This Row],[sem4.godziny]]&lt;&gt;"",IF(Tabela_kier[[#This Row],[sem4.godziny]]&gt;14,Tabela_kier[[#This Row],[sem4.godziny]]*0.6,Tabela_kier[[#This Row],[sem4.godziny]]),"")</f>
        <v/>
      </c>
      <c r="T65" s="375" t="str" cm="1">
        <f t="array" ref="T65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65" s="375" t="str">
        <f>IF(Tabela_kier[[#This Row],[sem4.forma]]&lt;&gt;"",Tabela_kier[[#This Row],[sem4.forma]],"")</f>
        <v/>
      </c>
      <c r="V65" s="377">
        <f>IF(Tabela_kier[[#This Row],[sem5.godziny]]&lt;&gt;"",IF(Tabela_kier[[#This Row],[sem5.godziny]]&gt;14,Tabela_kier[[#This Row],[sem5.godziny]]*0.6,Tabela_kier[[#This Row],[sem5.godziny]]),"")</f>
        <v>9</v>
      </c>
      <c r="W65" s="377">
        <v>1</v>
      </c>
      <c r="X65" s="377" t="str">
        <f>IF(Tabela_kier[[#This Row],[sem5.forma]]&lt;&gt;"",Tabela_kier[[#This Row],[sem5.forma]],"")</f>
        <v>z</v>
      </c>
      <c r="Y65" s="379" t="str">
        <f>IF(Tabela_kier[[#This Row],[sem6.godziny]]&lt;&gt;"",IF(Tabela_kier[[#This Row],[sem6.godziny]]&gt;14,Tabela_kier[[#This Row],[sem6.godziny]]*0.6,Tabela_kier[[#This Row],[sem6.godziny]]),"")</f>
        <v/>
      </c>
      <c r="Z65" s="379" t="str" cm="1">
        <f t="array" ref="Z65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5" s="379" t="str">
        <f>IF(Tabela_kier[[#This Row],[sem6.forma]]&lt;&gt;"",Tabela_kier[[#This Row],[sem6.forma]],"")</f>
        <v/>
      </c>
      <c r="AB65" s="381" t="str">
        <f>IF(Tabela_kier[[#This Row],[sem7.godziny]]&lt;&gt;"",IF(Tabela_kier[[#This Row],[sem7.godziny]]&gt;14,Tabela_kier[[#This Row],[sem7.godziny]]*0.6,Tabela_kier[[#This Row],[sem7.godziny]]),"")</f>
        <v/>
      </c>
      <c r="AC65" s="381" t="str" cm="1">
        <f t="array" ref="AC65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5" s="381" t="str">
        <f>IF(Tabela_kier[[#This Row],[sem7.forma]]&lt;&gt;"",Tabela_kier[[#This Row],[sem7.forma]],"")</f>
        <v/>
      </c>
      <c r="AE65" s="383" t="str">
        <f>IF(Tabela_kier[[#This Row],[sem8.godziny]]&lt;&gt;"",IF(Tabela_kier[[#This Row],[sem8.godziny]]&gt;14,Tabela_kier[[#This Row],[sem8.godziny]]*0.6,Tabela_kier[[#This Row],[sem8.godziny]]),"")</f>
        <v/>
      </c>
      <c r="AF65" s="383" t="str" cm="1">
        <f t="array" ref="AF65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5" s="383" t="str">
        <f>IF(Tabela_kier[[#This Row],[sem8.forma]]&lt;&gt;"",Tabela_kier[[#This Row],[sem8.forma]],"")</f>
        <v/>
      </c>
      <c r="AH65" s="385" t="str">
        <f>IF(Tabela_kier[[#This Row],[sem9.godziny]]&lt;&gt;"",IF(Tabela_kier[[#This Row],[sem9.godziny]]&gt;14,Tabela_kier[[#This Row],[sem9.godziny]]*0.6,Tabela_kier[[#This Row],[sem9.godziny]]),"")</f>
        <v/>
      </c>
      <c r="AI65" s="385" t="str" cm="1">
        <f t="array" ref="AI65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5" s="385" t="str">
        <f>IF(Tabela_kier[[#This Row],[sem9.forma]]&lt;&gt;"",Tabela_kier[[#This Row],[sem9.forma]],"")</f>
        <v/>
      </c>
      <c r="AK65" s="387" t="str">
        <f>IF(Tabela_kier[[#This Row],[sem10.godziny]]&lt;&gt;"",IF(Tabela_kier[[#This Row],[sem10.godziny]]&gt;14,Tabela_kier[[#This Row],[sem10.godziny]]*0.6,Tabela_kier[[#This Row],[sem10.godziny]]),"")</f>
        <v/>
      </c>
      <c r="AL65" s="387" t="str" cm="1">
        <f t="array" ref="AL65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5" s="387" t="str">
        <f>IF(Tabela_kier[[#This Row],[sem10.forma]]&lt;&gt;"",Tabela_kier[[#This Row],[sem10.forma]],"")</f>
        <v/>
      </c>
      <c r="AN65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65" s="389">
        <f>IF(ISERR(SEARCH("UP",Tabela_kier_nst[[#This Row],[Umiej.prakt.]],1)),0,Tabela_kier_nst[[#This Row],[ects.razem]])</f>
        <v>1</v>
      </c>
      <c r="AP65" s="390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65" s="391">
        <f>SUM(Tabela_kier_nst[[#This Row],[godziny.samoksztalcenie]],Tabela_kier_nst[[#This Row],[godziny.konsultacja]],Tabela_kier_nst[[#This Row],[godziny.egzamin]],Tabela_kier_nst[[#This Row],[godziny.zajec.razem]])</f>
        <v>27</v>
      </c>
      <c r="AR65" s="392">
        <f>Tabela_kier[[#This Row],[godziny.samoksztalcenie]]+(Tabela_kier[[#This Row],[godziny.zajec.razem]]-Tabela_kier_nst[[#This Row],[godziny.zajec.razem]])</f>
        <v>15</v>
      </c>
      <c r="AS65" s="393">
        <f>Tabela_kier[[#This Row],[godziny.konsultacja]]</f>
        <v>1</v>
      </c>
      <c r="AT65" s="394">
        <f>Tabela_kier[[#This Row],[godziny.egzamin]]</f>
        <v>2</v>
      </c>
      <c r="AU65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65" s="442">
        <f>IF(Tabela_kier_nst[[#This Row],[ects.bezposr.nauczyciel]],Tabela_kier_nst[[#This Row],[ects.bezposr.nauczyciel]]/Tabela_kier_nst[[#This Row],[ects.razem]],0)</f>
        <v>0.5</v>
      </c>
      <c r="AW65" s="49"/>
    </row>
    <row r="66" spans="1:49" ht="25.5" customHeight="1" x14ac:dyDescent="0.3">
      <c r="A66" s="207"/>
      <c r="B66" s="443" t="str">
        <f>IF(Tabela_kier[[#This Row],[kod.isced]]&lt;&gt;"",Tabela_kier[[#This Row],[kod.isced]],"")</f>
        <v>0411</v>
      </c>
      <c r="C66" s="437">
        <f>IF(Tabela_kier[[#This Row],[kod.dziedziny]]&lt;&gt;"",Tabela_kier[[#This Row],[kod.dziedziny]],"")</f>
        <v>501</v>
      </c>
      <c r="D66" s="437" t="str">
        <f>IF(Tabela_kier[[#This Row],[Modul]]&lt;&gt;"",Tabela_kier[[#This Row],[Modul]],"")</f>
        <v>kr.13.2</v>
      </c>
      <c r="E66" s="437" t="str">
        <f>IF(Tabela_kier[[#This Row],[Umiej.prakt.]]&lt;&gt;"",Tabela_kier[[#This Row],[Umiej.prakt.]],"")</f>
        <v>up</v>
      </c>
      <c r="F66" s="438" t="str">
        <f>IF(Tabela_kier[[#This Row],[Nazwa przedmiotu]]&lt;&gt;"",Tabela_kier[[#This Row],[Nazwa przedmiotu]],"")</f>
        <v>Podstawy rachunku kosztów</v>
      </c>
      <c r="G66" s="439" t="str">
        <f>IF(Tabela_kier[[#This Row],[Prowadzacy]]&lt;&gt;"",Tabela_kier[[#This Row],[Prowadzacy]],"")</f>
        <v/>
      </c>
      <c r="H66" s="440" t="str">
        <f>IF(Tabela_kier[[#This Row],[Forma]]&lt;&gt;"",Tabela_kier[[#This Row],[Forma]],"")</f>
        <v>laboratoria</v>
      </c>
      <c r="I66" s="441" t="str">
        <f>IF(Tabela_kier[[#This Row],[czy.ects]]&lt;&gt;"",Tabela_kier[[#This Row],[czy.ects]],"")</f>
        <v>TAK</v>
      </c>
      <c r="J66" s="369" t="str">
        <f>IF(Tabela_kier[[#This Row],[sem1.godziny]]&lt;&gt;"",IF(Tabela_kier[[#This Row],[sem1.godziny]]&gt;14,Tabela_kier[[#This Row],[sem1.godziny]]*0.6,Tabela_kier[[#This Row],[sem1.godziny]]),"")</f>
        <v/>
      </c>
      <c r="K66" s="369" t="str" cm="1">
        <f t="array" ref="K66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6" s="369" t="str">
        <f>IF(Tabela_kier[[#This Row],[sem1.forma]]&lt;&gt;"",Tabela_kier[[#This Row],[sem1.forma]],"")</f>
        <v/>
      </c>
      <c r="M66" s="371" t="str">
        <f>IF(Tabela_kier[[#This Row],[sem2.godziny]]&lt;&gt;"",IF(Tabela_kier[[#This Row],[sem2.godziny]]&gt;14,Tabela_kier[[#This Row],[sem2.godziny]]*0.6,Tabela_kier[[#This Row],[sem2.godziny]]),"")</f>
        <v/>
      </c>
      <c r="N66" s="371" t="str" cm="1">
        <f t="array" ref="N66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6" s="371" t="str">
        <f>IF(Tabela_kier[[#This Row],[sem2.forma]]&lt;&gt;"",Tabela_kier[[#This Row],[sem2.forma]],"")</f>
        <v/>
      </c>
      <c r="P66" s="677" t="str">
        <f>IF(Tabela_kier[[#This Row],[sem3.godziny]]&lt;&gt;"",IF(Tabela_kier[[#This Row],[sem3.godziny]]&gt;14,Tabela_kier[[#This Row],[sem3.godziny]]*0.6,Tabela_kier[[#This Row],[sem3.godziny]]),"")</f>
        <v/>
      </c>
      <c r="Q66" s="373" t="str" cm="1">
        <f t="array" ref="Q66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6" s="677" t="str">
        <f>IF(Tabela_kier[[#This Row],[sem3.forma]]&lt;&gt;"",Tabela_kier[[#This Row],[sem3.forma]],"")</f>
        <v/>
      </c>
      <c r="S66" s="375" t="str">
        <f>IF(Tabela_kier[[#This Row],[sem4.godziny]]&lt;&gt;"",IF(Tabela_kier[[#This Row],[sem4.godziny]]&gt;14,Tabela_kier[[#This Row],[sem4.godziny]]*0.6,Tabela_kier[[#This Row],[sem4.godziny]]),"")</f>
        <v/>
      </c>
      <c r="T66" s="375" t="str" cm="1">
        <f t="array" ref="T66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66" s="375" t="str">
        <f>IF(Tabela_kier[[#This Row],[sem4.forma]]&lt;&gt;"",Tabela_kier[[#This Row],[sem4.forma]],"")</f>
        <v/>
      </c>
      <c r="V66" s="377">
        <f>IF(Tabela_kier[[#This Row],[sem5.godziny]]&lt;&gt;"",IF(Tabela_kier[[#This Row],[sem5.godziny]]&gt;14,Tabela_kier[[#This Row],[sem5.godziny]]*0.6,Tabela_kier[[#This Row],[sem5.godziny]]),"")</f>
        <v>18</v>
      </c>
      <c r="W66" s="377">
        <v>3</v>
      </c>
      <c r="X66" s="377" t="str">
        <f>IF(Tabela_kier[[#This Row],[sem5.forma]]&lt;&gt;"",Tabela_kier[[#This Row],[sem5.forma]],"")</f>
        <v>z</v>
      </c>
      <c r="Y66" s="379" t="str">
        <f>IF(Tabela_kier[[#This Row],[sem6.godziny]]&lt;&gt;"",IF(Tabela_kier[[#This Row],[sem6.godziny]]&gt;14,Tabela_kier[[#This Row],[sem6.godziny]]*0.6,Tabela_kier[[#This Row],[sem6.godziny]]),"")</f>
        <v/>
      </c>
      <c r="Z66" s="379" t="str" cm="1">
        <f t="array" ref="Z66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6" s="379" t="str">
        <f>IF(Tabela_kier[[#This Row],[sem6.forma]]&lt;&gt;"",Tabela_kier[[#This Row],[sem6.forma]],"")</f>
        <v/>
      </c>
      <c r="AB66" s="381" t="str">
        <f>IF(Tabela_kier[[#This Row],[sem7.godziny]]&lt;&gt;"",IF(Tabela_kier[[#This Row],[sem7.godziny]]&gt;14,Tabela_kier[[#This Row],[sem7.godziny]]*0.6,Tabela_kier[[#This Row],[sem7.godziny]]),"")</f>
        <v/>
      </c>
      <c r="AC66" s="381" t="str" cm="1">
        <f t="array" ref="AC66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6" s="381" t="str">
        <f>IF(Tabela_kier[[#This Row],[sem7.forma]]&lt;&gt;"",Tabela_kier[[#This Row],[sem7.forma]],"")</f>
        <v/>
      </c>
      <c r="AE66" s="383" t="str">
        <f>IF(Tabela_kier[[#This Row],[sem8.godziny]]&lt;&gt;"",IF(Tabela_kier[[#This Row],[sem8.godziny]]&gt;14,Tabela_kier[[#This Row],[sem8.godziny]]*0.6,Tabela_kier[[#This Row],[sem8.godziny]]),"")</f>
        <v/>
      </c>
      <c r="AF66" s="383" t="str" cm="1">
        <f t="array" ref="AF66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6" s="383" t="str">
        <f>IF(Tabela_kier[[#This Row],[sem8.forma]]&lt;&gt;"",Tabela_kier[[#This Row],[sem8.forma]],"")</f>
        <v/>
      </c>
      <c r="AH66" s="385" t="str">
        <f>IF(Tabela_kier[[#This Row],[sem9.godziny]]&lt;&gt;"",IF(Tabela_kier[[#This Row],[sem9.godziny]]&gt;14,Tabela_kier[[#This Row],[sem9.godziny]]*0.6,Tabela_kier[[#This Row],[sem9.godziny]]),"")</f>
        <v/>
      </c>
      <c r="AI66" s="385" t="str" cm="1">
        <f t="array" ref="AI66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6" s="385" t="str">
        <f>IF(Tabela_kier[[#This Row],[sem9.forma]]&lt;&gt;"",Tabela_kier[[#This Row],[sem9.forma]],"")</f>
        <v/>
      </c>
      <c r="AK66" s="387" t="str">
        <f>IF(Tabela_kier[[#This Row],[sem10.godziny]]&lt;&gt;"",IF(Tabela_kier[[#This Row],[sem10.godziny]]&gt;14,Tabela_kier[[#This Row],[sem10.godziny]]*0.6,Tabela_kier[[#This Row],[sem10.godziny]]),"")</f>
        <v/>
      </c>
      <c r="AL66" s="387" t="str" cm="1">
        <f t="array" ref="AL66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6" s="387" t="str">
        <f>IF(Tabela_kier[[#This Row],[sem10.forma]]&lt;&gt;"",Tabela_kier[[#This Row],[sem10.forma]],"")</f>
        <v/>
      </c>
      <c r="AN66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66" s="389">
        <f>IF(ISERR(SEARCH("UP",Tabela_kier_nst[[#This Row],[Umiej.prakt.]],1)),0,Tabela_kier_nst[[#This Row],[ects.razem]])</f>
        <v>3</v>
      </c>
      <c r="AP66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66" s="391">
        <f>SUM(Tabela_kier_nst[[#This Row],[godziny.samoksztalcenie]],Tabela_kier_nst[[#This Row],[godziny.konsultacja]],Tabela_kier_nst[[#This Row],[godziny.egzamin]],Tabela_kier_nst[[#This Row],[godziny.zajec.razem]])</f>
        <v>52</v>
      </c>
      <c r="AR66" s="392">
        <f>Tabela_kier[[#This Row],[godziny.samoksztalcenie]]+(Tabela_kier[[#This Row],[godziny.zajec.razem]]-Tabela_kier_nst[[#This Row],[godziny.zajec.razem]])</f>
        <v>29</v>
      </c>
      <c r="AS66" s="393">
        <f>Tabela_kier[[#This Row],[godziny.konsultacja]]</f>
        <v>3</v>
      </c>
      <c r="AT66" s="394">
        <f>Tabela_kier[[#This Row],[godziny.egzamin]]</f>
        <v>2</v>
      </c>
      <c r="AU66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66" s="442">
        <f>IF(Tabela_kier_nst[[#This Row],[ects.bezposr.nauczyciel]],Tabela_kier_nst[[#This Row],[ects.bezposr.nauczyciel]]/Tabela_kier_nst[[#This Row],[ects.razem]],0)</f>
        <v>0.33333333333333331</v>
      </c>
      <c r="AW66" s="49"/>
    </row>
    <row r="67" spans="1:49" ht="25.5" customHeight="1" x14ac:dyDescent="0.3">
      <c r="A67" s="207"/>
      <c r="B67" s="443" t="str">
        <f>IF(Tabela_kier[[#This Row],[kod.isced]]&lt;&gt;"",Tabela_kier[[#This Row],[kod.isced]],"")</f>
        <v>0412</v>
      </c>
      <c r="C67" s="437">
        <f>IF(Tabela_kier[[#This Row],[kod.dziedziny]]&lt;&gt;"",Tabela_kier[[#This Row],[kod.dziedziny]],"")</f>
        <v>501</v>
      </c>
      <c r="D67" s="437" t="str">
        <f>IF(Tabela_kier[[#This Row],[Modul]]&lt;&gt;"",Tabela_kier[[#This Row],[Modul]],"")</f>
        <v>kr.14.1</v>
      </c>
      <c r="E67" s="437" t="str">
        <f>IF(Tabela_kier[[#This Row],[Umiej.prakt.]]&lt;&gt;"",Tabela_kier[[#This Row],[Umiej.prakt.]],"")</f>
        <v>up</v>
      </c>
      <c r="F67" s="438" t="str">
        <f>IF(Tabela_kier[[#This Row],[Nazwa przedmiotu]]&lt;&gt;"",Tabela_kier[[#This Row],[Nazwa przedmiotu]],"")</f>
        <v>Analiza finansowa</v>
      </c>
      <c r="G67" s="439" t="str">
        <f>IF(Tabela_kier[[#This Row],[Prowadzacy]]&lt;&gt;"",Tabela_kier[[#This Row],[Prowadzacy]],"")</f>
        <v/>
      </c>
      <c r="H67" s="440" t="str">
        <f>IF(Tabela_kier[[#This Row],[Forma]]&lt;&gt;"",Tabela_kier[[#This Row],[Forma]],"")</f>
        <v>konwersatorium</v>
      </c>
      <c r="I67" s="441" t="str">
        <f>IF(Tabela_kier[[#This Row],[czy.ects]]&lt;&gt;"",Tabela_kier[[#This Row],[czy.ects]],"")</f>
        <v>TAK</v>
      </c>
      <c r="J67" s="356" t="str">
        <f>IF(Tabela_kier[[#This Row],[sem1.godziny]]&lt;&gt;"",IF(Tabela_kier[[#This Row],[sem1.godziny]]&gt;14,Tabela_kier[[#This Row],[sem1.godziny]]*0.6,Tabela_kier[[#This Row],[sem1.godziny]]),"")</f>
        <v/>
      </c>
      <c r="K67" s="356" t="str" cm="1">
        <f t="array" ref="K67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7" s="356" t="str">
        <f>IF(Tabela_kier[[#This Row],[sem1.forma]]&lt;&gt;"",Tabela_kier[[#This Row],[sem1.forma]],"")</f>
        <v/>
      </c>
      <c r="M67" s="357" t="str">
        <f>IF(Tabela_kier[[#This Row],[sem2.godziny]]&lt;&gt;"",IF(Tabela_kier[[#This Row],[sem2.godziny]]&gt;14,Tabela_kier[[#This Row],[sem2.godziny]]*0.6,Tabela_kier[[#This Row],[sem2.godziny]]),"")</f>
        <v/>
      </c>
      <c r="N67" s="357" t="str" cm="1">
        <f t="array" ref="N67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7" s="357" t="str">
        <f>IF(Tabela_kier[[#This Row],[sem2.forma]]&lt;&gt;"",Tabela_kier[[#This Row],[sem2.forma]],"")</f>
        <v/>
      </c>
      <c r="P67" s="358" t="str">
        <f>IF(Tabela_kier[[#This Row],[sem3.godziny]]&lt;&gt;"",IF(Tabela_kier[[#This Row],[sem3.godziny]]&gt;14,Tabela_kier[[#This Row],[sem3.godziny]]*0.6,Tabela_kier[[#This Row],[sem3.godziny]]),"")</f>
        <v/>
      </c>
      <c r="Q67" s="359" t="str" cm="1">
        <f t="array" ref="Q67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7" s="358" t="str">
        <f>IF(Tabela_kier[[#This Row],[sem3.forma]]&lt;&gt;"",Tabela_kier[[#This Row],[sem3.forma]],"")</f>
        <v/>
      </c>
      <c r="S67" s="355" t="str">
        <f>IF(Tabela_kier[[#This Row],[sem4.godziny]]&lt;&gt;"",IF(Tabela_kier[[#This Row],[sem4.godziny]]&gt;14,Tabela_kier[[#This Row],[sem4.godziny]]*0.6,Tabela_kier[[#This Row],[sem4.godziny]]),"")</f>
        <v/>
      </c>
      <c r="T67" s="355" t="str" cm="1">
        <f t="array" ref="T67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67" s="355" t="str">
        <f>IF(Tabela_kier[[#This Row],[sem4.forma]]&lt;&gt;"",Tabela_kier[[#This Row],[sem4.forma]],"")</f>
        <v/>
      </c>
      <c r="V67" s="216">
        <f>IF(Tabela_kier[[#This Row],[sem5.godziny]]&lt;&gt;"",IF(Tabela_kier[[#This Row],[sem5.godziny]]&gt;14,Tabela_kier[[#This Row],[sem5.godziny]]*0.6,Tabela_kier[[#This Row],[sem5.godziny]]),"")</f>
        <v>9</v>
      </c>
      <c r="W67" s="216">
        <v>1</v>
      </c>
      <c r="X67" s="216" t="str">
        <f>IF(Tabela_kier[[#This Row],[sem5.forma]]&lt;&gt;"",Tabela_kier[[#This Row],[sem5.forma]],"")</f>
        <v>e</v>
      </c>
      <c r="Y67" s="217" t="str">
        <f>IF(Tabela_kier[[#This Row],[sem6.godziny]]&lt;&gt;"",IF(Tabela_kier[[#This Row],[sem6.godziny]]&gt;14,Tabela_kier[[#This Row],[sem6.godziny]]*0.6,Tabela_kier[[#This Row],[sem6.godziny]]),"")</f>
        <v/>
      </c>
      <c r="Z67" s="217" t="str" cm="1">
        <f t="array" ref="Z67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7" s="217" t="str">
        <f>IF(Tabela_kier[[#This Row],[sem6.forma]]&lt;&gt;"",Tabela_kier[[#This Row],[sem6.forma]],"")</f>
        <v/>
      </c>
      <c r="AB67" s="218" t="str">
        <f>IF(Tabela_kier[[#This Row],[sem7.godziny]]&lt;&gt;"",IF(Tabela_kier[[#This Row],[sem7.godziny]]&gt;14,Tabela_kier[[#This Row],[sem7.godziny]]*0.6,Tabela_kier[[#This Row],[sem7.godziny]]),"")</f>
        <v/>
      </c>
      <c r="AC67" s="218" t="str" cm="1">
        <f t="array" ref="AC67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7" s="218" t="str">
        <f>IF(Tabela_kier[[#This Row],[sem7.forma]]&lt;&gt;"",Tabela_kier[[#This Row],[sem7.forma]],"")</f>
        <v/>
      </c>
      <c r="AE67" s="219" t="str">
        <f>IF(Tabela_kier[[#This Row],[sem8.godziny]]&lt;&gt;"",IF(Tabela_kier[[#This Row],[sem8.godziny]]&gt;14,Tabela_kier[[#This Row],[sem8.godziny]]*0.6,Tabela_kier[[#This Row],[sem8.godziny]]),"")</f>
        <v/>
      </c>
      <c r="AF67" s="219" t="str" cm="1">
        <f t="array" ref="AF67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7" s="219" t="str">
        <f>IF(Tabela_kier[[#This Row],[sem8.forma]]&lt;&gt;"",Tabela_kier[[#This Row],[sem8.forma]],"")</f>
        <v/>
      </c>
      <c r="AH67" s="220" t="str">
        <f>IF(Tabela_kier[[#This Row],[sem9.godziny]]&lt;&gt;"",IF(Tabela_kier[[#This Row],[sem9.godziny]]&gt;14,Tabela_kier[[#This Row],[sem9.godziny]]*0.6,Tabela_kier[[#This Row],[sem9.godziny]]),"")</f>
        <v/>
      </c>
      <c r="AI67" s="220" t="str" cm="1">
        <f t="array" ref="AI67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7" s="220" t="str">
        <f>IF(Tabela_kier[[#This Row],[sem9.forma]]&lt;&gt;"",Tabela_kier[[#This Row],[sem9.forma]],"")</f>
        <v/>
      </c>
      <c r="AK67" s="221" t="str">
        <f>IF(Tabela_kier[[#This Row],[sem10.godziny]]&lt;&gt;"",IF(Tabela_kier[[#This Row],[sem10.godziny]]&gt;14,Tabela_kier[[#This Row],[sem10.godziny]]*0.6,Tabela_kier[[#This Row],[sem10.godziny]]),"")</f>
        <v/>
      </c>
      <c r="AL67" s="221" t="str" cm="1">
        <f t="array" ref="AL67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7" s="221" t="str">
        <f>IF(Tabela_kier[[#This Row],[sem10.forma]]&lt;&gt;"",Tabela_kier[[#This Row],[sem10.forma]],"")</f>
        <v/>
      </c>
      <c r="AN67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67" s="389">
        <f>IF(ISERR(SEARCH("UP",Tabela_kier_nst[[#This Row],[Umiej.prakt.]],1)),0,Tabela_kier_nst[[#This Row],[ects.razem]])</f>
        <v>1</v>
      </c>
      <c r="AP67" s="390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67" s="391">
        <f>SUM(Tabela_kier_nst[[#This Row],[godziny.samoksztalcenie]],Tabela_kier_nst[[#This Row],[godziny.konsultacja]],Tabela_kier_nst[[#This Row],[godziny.egzamin]],Tabela_kier_nst[[#This Row],[godziny.zajec.razem]])</f>
        <v>27</v>
      </c>
      <c r="AR67" s="392">
        <f>Tabela_kier[[#This Row],[godziny.samoksztalcenie]]+(Tabela_kier[[#This Row],[godziny.zajec.razem]]-Tabela_kier_nst[[#This Row],[godziny.zajec.razem]])</f>
        <v>15</v>
      </c>
      <c r="AS67" s="393">
        <f>Tabela_kier[[#This Row],[godziny.konsultacja]]</f>
        <v>1</v>
      </c>
      <c r="AT67" s="394">
        <f>Tabela_kier[[#This Row],[godziny.egzamin]]</f>
        <v>2</v>
      </c>
      <c r="AU67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67" s="442">
        <f>IF(Tabela_kier_nst[[#This Row],[ects.bezposr.nauczyciel]],Tabela_kier_nst[[#This Row],[ects.bezposr.nauczyciel]]/Tabela_kier_nst[[#This Row],[ects.razem]],0)</f>
        <v>0.5</v>
      </c>
      <c r="AW67" s="49"/>
    </row>
    <row r="68" spans="1:49" ht="25.5" customHeight="1" x14ac:dyDescent="0.3">
      <c r="A68" s="207"/>
      <c r="B68" s="443" t="str">
        <f>IF(Tabela_kier[[#This Row],[kod.isced]]&lt;&gt;"",Tabela_kier[[#This Row],[kod.isced]],"")</f>
        <v>0412</v>
      </c>
      <c r="C68" s="437">
        <f>IF(Tabela_kier[[#This Row],[kod.dziedziny]]&lt;&gt;"",Tabela_kier[[#This Row],[kod.dziedziny]],"")</f>
        <v>501</v>
      </c>
      <c r="D68" s="437" t="str">
        <f>IF(Tabela_kier[[#This Row],[Modul]]&lt;&gt;"",Tabela_kier[[#This Row],[Modul]],"")</f>
        <v>kr.14.2</v>
      </c>
      <c r="E68" s="437" t="str">
        <f>IF(Tabela_kier[[#This Row],[Umiej.prakt.]]&lt;&gt;"",Tabela_kier[[#This Row],[Umiej.prakt.]],"")</f>
        <v>up</v>
      </c>
      <c r="F68" s="438" t="str">
        <f>IF(Tabela_kier[[#This Row],[Nazwa przedmiotu]]&lt;&gt;"",Tabela_kier[[#This Row],[Nazwa przedmiotu]],"")</f>
        <v>Analiza finansowa</v>
      </c>
      <c r="G68" s="439" t="str">
        <f>IF(Tabela_kier[[#This Row],[Prowadzacy]]&lt;&gt;"",Tabela_kier[[#This Row],[Prowadzacy]],"")</f>
        <v/>
      </c>
      <c r="H68" s="440" t="str">
        <f>IF(Tabela_kier[[#This Row],[Forma]]&lt;&gt;"",Tabela_kier[[#This Row],[Forma]],"")</f>
        <v>laboratoria</v>
      </c>
      <c r="I68" s="441" t="str">
        <f>IF(Tabela_kier[[#This Row],[czy.ects]]&lt;&gt;"",Tabela_kier[[#This Row],[czy.ects]],"")</f>
        <v>TAK</v>
      </c>
      <c r="J68" s="356" t="str">
        <f>IF(Tabela_kier[[#This Row],[sem1.godziny]]&lt;&gt;"",IF(Tabela_kier[[#This Row],[sem1.godziny]]&gt;14,Tabela_kier[[#This Row],[sem1.godziny]]*0.6,Tabela_kier[[#This Row],[sem1.godziny]]),"")</f>
        <v/>
      </c>
      <c r="K68" s="356" t="str" cm="1">
        <f t="array" ref="K68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8" s="356" t="str">
        <f>IF(Tabela_kier[[#This Row],[sem1.forma]]&lt;&gt;"",Tabela_kier[[#This Row],[sem1.forma]],"")</f>
        <v/>
      </c>
      <c r="M68" s="357" t="str">
        <f>IF(Tabela_kier[[#This Row],[sem2.godziny]]&lt;&gt;"",IF(Tabela_kier[[#This Row],[sem2.godziny]]&gt;14,Tabela_kier[[#This Row],[sem2.godziny]]*0.6,Tabela_kier[[#This Row],[sem2.godziny]]),"")</f>
        <v/>
      </c>
      <c r="N68" s="357" t="str" cm="1">
        <f t="array" ref="N68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8" s="357" t="str">
        <f>IF(Tabela_kier[[#This Row],[sem2.forma]]&lt;&gt;"",Tabela_kier[[#This Row],[sem2.forma]],"")</f>
        <v/>
      </c>
      <c r="P68" s="358" t="str">
        <f>IF(Tabela_kier[[#This Row],[sem3.godziny]]&lt;&gt;"",IF(Tabela_kier[[#This Row],[sem3.godziny]]&gt;14,Tabela_kier[[#This Row],[sem3.godziny]]*0.6,Tabela_kier[[#This Row],[sem3.godziny]]),"")</f>
        <v/>
      </c>
      <c r="Q68" s="359" t="str" cm="1">
        <f t="array" ref="Q68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8" s="358" t="str">
        <f>IF(Tabela_kier[[#This Row],[sem3.forma]]&lt;&gt;"",Tabela_kier[[#This Row],[sem3.forma]],"")</f>
        <v/>
      </c>
      <c r="S68" s="355" t="str">
        <f>IF(Tabela_kier[[#This Row],[sem4.godziny]]&lt;&gt;"",IF(Tabela_kier[[#This Row],[sem4.godziny]]&gt;14,Tabela_kier[[#This Row],[sem4.godziny]]*0.6,Tabela_kier[[#This Row],[sem4.godziny]]),"")</f>
        <v/>
      </c>
      <c r="T68" s="355" t="str" cm="1">
        <f t="array" ref="T68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68" s="355" t="str">
        <f>IF(Tabela_kier[[#This Row],[sem4.forma]]&lt;&gt;"",Tabela_kier[[#This Row],[sem4.forma]],"")</f>
        <v/>
      </c>
      <c r="V68" s="216">
        <f>IF(Tabela_kier[[#This Row],[sem5.godziny]]&lt;&gt;"",IF(Tabela_kier[[#This Row],[sem5.godziny]]&gt;14,Tabela_kier[[#This Row],[sem5.godziny]]*0.6,Tabela_kier[[#This Row],[sem5.godziny]]),"")</f>
        <v>18</v>
      </c>
      <c r="W68" s="216">
        <v>3</v>
      </c>
      <c r="X68" s="216" t="str">
        <f>IF(Tabela_kier[[#This Row],[sem5.forma]]&lt;&gt;"",Tabela_kier[[#This Row],[sem5.forma]],"")</f>
        <v>z</v>
      </c>
      <c r="Y68" s="217" t="str">
        <f>IF(Tabela_kier[[#This Row],[sem6.godziny]]&lt;&gt;"",IF(Tabela_kier[[#This Row],[sem6.godziny]]&gt;14,Tabela_kier[[#This Row],[sem6.godziny]]*0.6,Tabela_kier[[#This Row],[sem6.godziny]]),"")</f>
        <v/>
      </c>
      <c r="Z68" s="217" t="str" cm="1">
        <f t="array" ref="Z68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68" s="217" t="str">
        <f>IF(Tabela_kier[[#This Row],[sem6.forma]]&lt;&gt;"",Tabela_kier[[#This Row],[sem6.forma]],"")</f>
        <v/>
      </c>
      <c r="AB68" s="218" t="str">
        <f>IF(Tabela_kier[[#This Row],[sem7.godziny]]&lt;&gt;"",IF(Tabela_kier[[#This Row],[sem7.godziny]]&gt;14,Tabela_kier[[#This Row],[sem7.godziny]]*0.6,Tabela_kier[[#This Row],[sem7.godziny]]),"")</f>
        <v/>
      </c>
      <c r="AC68" s="218" t="str" cm="1">
        <f t="array" ref="AC68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8" s="218" t="str">
        <f>IF(Tabela_kier[[#This Row],[sem7.forma]]&lt;&gt;"",Tabela_kier[[#This Row],[sem7.forma]],"")</f>
        <v/>
      </c>
      <c r="AE68" s="219" t="str">
        <f>IF(Tabela_kier[[#This Row],[sem8.godziny]]&lt;&gt;"",IF(Tabela_kier[[#This Row],[sem8.godziny]]&gt;14,Tabela_kier[[#This Row],[sem8.godziny]]*0.6,Tabela_kier[[#This Row],[sem8.godziny]]),"")</f>
        <v/>
      </c>
      <c r="AF68" s="219" t="str" cm="1">
        <f t="array" ref="AF68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8" s="219" t="str">
        <f>IF(Tabela_kier[[#This Row],[sem8.forma]]&lt;&gt;"",Tabela_kier[[#This Row],[sem8.forma]],"")</f>
        <v/>
      </c>
      <c r="AH68" s="220" t="str">
        <f>IF(Tabela_kier[[#This Row],[sem9.godziny]]&lt;&gt;"",IF(Tabela_kier[[#This Row],[sem9.godziny]]&gt;14,Tabela_kier[[#This Row],[sem9.godziny]]*0.6,Tabela_kier[[#This Row],[sem9.godziny]]),"")</f>
        <v/>
      </c>
      <c r="AI68" s="220" t="str" cm="1">
        <f t="array" ref="AI68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8" s="220" t="str">
        <f>IF(Tabela_kier[[#This Row],[sem9.forma]]&lt;&gt;"",Tabela_kier[[#This Row],[sem9.forma]],"")</f>
        <v/>
      </c>
      <c r="AK68" s="221" t="str">
        <f>IF(Tabela_kier[[#This Row],[sem10.godziny]]&lt;&gt;"",IF(Tabela_kier[[#This Row],[sem10.godziny]]&gt;14,Tabela_kier[[#This Row],[sem10.godziny]]*0.6,Tabela_kier[[#This Row],[sem10.godziny]]),"")</f>
        <v/>
      </c>
      <c r="AL68" s="221" t="str" cm="1">
        <f t="array" ref="AL68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8" s="221" t="str">
        <f>IF(Tabela_kier[[#This Row],[sem10.forma]]&lt;&gt;"",Tabela_kier[[#This Row],[sem10.forma]],"")</f>
        <v/>
      </c>
      <c r="AN68" s="388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68" s="389">
        <f>IF(ISERR(SEARCH("UP",Tabela_kier_nst[[#This Row],[Umiej.prakt.]],1)),0,Tabela_kier_nst[[#This Row],[ects.razem]])</f>
        <v>3</v>
      </c>
      <c r="AP68" s="390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68" s="391">
        <f>SUM(Tabela_kier_nst[[#This Row],[godziny.samoksztalcenie]],Tabela_kier_nst[[#This Row],[godziny.konsultacja]],Tabela_kier_nst[[#This Row],[godziny.egzamin]],Tabela_kier_nst[[#This Row],[godziny.zajec.razem]])</f>
        <v>52</v>
      </c>
      <c r="AR68" s="392">
        <f>Tabela_kier[[#This Row],[godziny.samoksztalcenie]]+(Tabela_kier[[#This Row],[godziny.zajec.razem]]-Tabela_kier_nst[[#This Row],[godziny.zajec.razem]])</f>
        <v>29</v>
      </c>
      <c r="AS68" s="393">
        <f>Tabela_kier[[#This Row],[godziny.konsultacja]]</f>
        <v>3</v>
      </c>
      <c r="AT68" s="394">
        <f>Tabela_kier[[#This Row],[godziny.egzamin]]</f>
        <v>2</v>
      </c>
      <c r="AU68" s="395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68" s="442">
        <f>IF(Tabela_kier_nst[[#This Row],[ects.bezposr.nauczyciel]],Tabela_kier_nst[[#This Row],[ects.bezposr.nauczyciel]]/Tabela_kier_nst[[#This Row],[ects.razem]],0)</f>
        <v>0.33333333333333331</v>
      </c>
      <c r="AW68" s="49"/>
    </row>
    <row r="69" spans="1:49" ht="25.5" customHeight="1" x14ac:dyDescent="0.3">
      <c r="A69" s="207"/>
      <c r="B69" s="331" t="str">
        <f>IF(Tabela_kier[[#This Row],[kod.isced]]&lt;&gt;"",Tabela_kier[[#This Row],[kod.isced]],"")</f>
        <v>0412</v>
      </c>
      <c r="C69" s="332">
        <f>IF(Tabela_kier[[#This Row],[kod.dziedziny]]&lt;&gt;"",Tabela_kier[[#This Row],[kod.dziedziny]],"")</f>
        <v>501</v>
      </c>
      <c r="D69" s="193" t="str">
        <f>IF(Tabela_kier[[#This Row],[Modul]]&lt;&gt;"",Tabela_kier[[#This Row],[Modul]],"")</f>
        <v>kr.15.1</v>
      </c>
      <c r="E69" s="193" t="str">
        <f>IF(Tabela_kier[[#This Row],[Umiej.prakt.]]&lt;&gt;"",Tabela_kier[[#This Row],[Umiej.prakt.]],"")</f>
        <v>up</v>
      </c>
      <c r="F69" s="308" t="str">
        <f>IF(Tabela_kier[[#This Row],[Nazwa przedmiotu]]&lt;&gt;"",Tabela_kier[[#This Row],[Nazwa przedmiotu]],"")</f>
        <v>Kalkulacje finansowe z Excelem</v>
      </c>
      <c r="G69" s="309" t="str">
        <f>IF(Tabela_kier[[#This Row],[Prowadzacy]]&lt;&gt;"",Tabela_kier[[#This Row],[Prowadzacy]],"")</f>
        <v/>
      </c>
      <c r="H69" s="155" t="str">
        <f>IF(Tabela_kier[[#This Row],[Forma]]&lt;&gt;"",Tabela_kier[[#This Row],[Forma]],"")</f>
        <v>konwersatorium</v>
      </c>
      <c r="I69" s="156" t="str">
        <f>IF(Tabela_kier[[#This Row],[czy.ects]]&lt;&gt;"",Tabela_kier[[#This Row],[czy.ects]],"")</f>
        <v>TAK</v>
      </c>
      <c r="J69" s="356" t="str">
        <f>IF(Tabela_kier[[#This Row],[sem1.godziny]]&lt;&gt;"",IF(Tabela_kier[[#This Row],[sem1.godziny]]&gt;14,Tabela_kier[[#This Row],[sem1.godziny]]*0.6,Tabela_kier[[#This Row],[sem1.godziny]]),"")</f>
        <v/>
      </c>
      <c r="K69" s="356" t="str" cm="1">
        <f t="array" ref="K69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69" s="356" t="str">
        <f>IF(Tabela_kier[[#This Row],[sem1.forma]]&lt;&gt;"",Tabela_kier[[#This Row],[sem1.forma]],"")</f>
        <v/>
      </c>
      <c r="M69" s="357" t="str">
        <f>IF(Tabela_kier[[#This Row],[sem2.godziny]]&lt;&gt;"",IF(Tabela_kier[[#This Row],[sem2.godziny]]&gt;14,Tabela_kier[[#This Row],[sem2.godziny]]*0.6,Tabela_kier[[#This Row],[sem2.godziny]]),"")</f>
        <v/>
      </c>
      <c r="N69" s="357" t="str" cm="1">
        <f t="array" ref="N69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69" s="357" t="str">
        <f>IF(Tabela_kier[[#This Row],[sem2.forma]]&lt;&gt;"",Tabela_kier[[#This Row],[sem2.forma]],"")</f>
        <v/>
      </c>
      <c r="P69" s="358" t="str">
        <f>IF(Tabela_kier[[#This Row],[sem3.godziny]]&lt;&gt;"",IF(Tabela_kier[[#This Row],[sem3.godziny]]&gt;14,Tabela_kier[[#This Row],[sem3.godziny]]*0.6,Tabela_kier[[#This Row],[sem3.godziny]]),"")</f>
        <v/>
      </c>
      <c r="Q69" s="359" t="str" cm="1">
        <f t="array" ref="Q69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69" s="358" t="str">
        <f>IF(Tabela_kier[[#This Row],[sem3.forma]]&lt;&gt;"",Tabela_kier[[#This Row],[sem3.forma]],"")</f>
        <v/>
      </c>
      <c r="S69" s="355" t="str">
        <f>IF(Tabela_kier[[#This Row],[sem4.godziny]]&lt;&gt;"",IF(Tabela_kier[[#This Row],[sem4.godziny]]&gt;14,Tabela_kier[[#This Row],[sem4.godziny]]*0.6,Tabela_kier[[#This Row],[sem4.godziny]]),"")</f>
        <v/>
      </c>
      <c r="T69" s="355" t="str" cm="1">
        <f t="array" ref="T69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69" s="355" t="str">
        <f>IF(Tabela_kier[[#This Row],[sem4.forma]]&lt;&gt;"",Tabela_kier[[#This Row],[sem4.forma]],"")</f>
        <v/>
      </c>
      <c r="V69" s="216" t="str">
        <f>IF(Tabela_kier[[#This Row],[sem5.godziny]]&lt;&gt;"",IF(Tabela_kier[[#This Row],[sem5.godziny]]&gt;14,Tabela_kier[[#This Row],[sem5.godziny]]*0.6,Tabela_kier[[#This Row],[sem5.godziny]]),"")</f>
        <v/>
      </c>
      <c r="W69" s="216" t="str" cm="1">
        <f t="array" ref="W69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69" s="216" t="str">
        <f>IF(Tabela_kier[[#This Row],[sem5.forma]]&lt;&gt;"",Tabela_kier[[#This Row],[sem5.forma]],"")</f>
        <v/>
      </c>
      <c r="Y69" s="217">
        <f>IF(Tabela_kier[[#This Row],[sem6.godziny]]&lt;&gt;"",IF(Tabela_kier[[#This Row],[sem6.godziny]]&gt;14,Tabela_kier[[#This Row],[sem6.godziny]]*0.6,Tabela_kier[[#This Row],[sem6.godziny]]),"")</f>
        <v>9</v>
      </c>
      <c r="Z69" s="217" cm="1">
        <f t="array" ref="Z69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>1</v>
      </c>
      <c r="AA69" s="217" t="str">
        <f>IF(Tabela_kier[[#This Row],[sem6.forma]]&lt;&gt;"",Tabela_kier[[#This Row],[sem6.forma]],"")</f>
        <v>z</v>
      </c>
      <c r="AB69" s="218" t="str">
        <f>IF(Tabela_kier[[#This Row],[sem7.godziny]]&lt;&gt;"",IF(Tabela_kier[[#This Row],[sem7.godziny]]&gt;14,Tabela_kier[[#This Row],[sem7.godziny]]*0.6,Tabela_kier[[#This Row],[sem7.godziny]]),"")</f>
        <v/>
      </c>
      <c r="AC69" s="218" t="str" cm="1">
        <f t="array" ref="AC69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69" s="218" t="str">
        <f>IF(Tabela_kier[[#This Row],[sem7.forma]]&lt;&gt;"",Tabela_kier[[#This Row],[sem7.forma]],"")</f>
        <v/>
      </c>
      <c r="AE69" s="219" t="str">
        <f>IF(Tabela_kier[[#This Row],[sem8.godziny]]&lt;&gt;"",IF(Tabela_kier[[#This Row],[sem8.godziny]]&gt;14,Tabela_kier[[#This Row],[sem8.godziny]]*0.6,Tabela_kier[[#This Row],[sem8.godziny]]),"")</f>
        <v/>
      </c>
      <c r="AF69" s="219" t="str" cm="1">
        <f t="array" ref="AF69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69" s="219" t="str">
        <f>IF(Tabela_kier[[#This Row],[sem8.forma]]&lt;&gt;"",Tabela_kier[[#This Row],[sem8.forma]],"")</f>
        <v/>
      </c>
      <c r="AH69" s="220" t="str">
        <f>IF(Tabela_kier[[#This Row],[sem9.godziny]]&lt;&gt;"",IF(Tabela_kier[[#This Row],[sem9.godziny]]&gt;14,Tabela_kier[[#This Row],[sem9.godziny]]*0.6,Tabela_kier[[#This Row],[sem9.godziny]]),"")</f>
        <v/>
      </c>
      <c r="AI69" s="220" t="str" cm="1">
        <f t="array" ref="AI69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69" s="220" t="str">
        <f>IF(Tabela_kier[[#This Row],[sem9.forma]]&lt;&gt;"",Tabela_kier[[#This Row],[sem9.forma]],"")</f>
        <v/>
      </c>
      <c r="AK69" s="221" t="str">
        <f>IF(Tabela_kier[[#This Row],[sem10.godziny]]&lt;&gt;"",IF(Tabela_kier[[#This Row],[sem10.godziny]]&gt;14,Tabela_kier[[#This Row],[sem10.godziny]]*0.6,Tabela_kier[[#This Row],[sem10.godziny]]),"")</f>
        <v/>
      </c>
      <c r="AL69" s="221" t="str" cm="1">
        <f t="array" ref="AL69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69" s="221" t="str">
        <f>IF(Tabela_kier[[#This Row],[sem10.forma]]&lt;&gt;"",Tabela_kier[[#This Row],[sem10.forma]],"")</f>
        <v/>
      </c>
      <c r="AN69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69" s="223">
        <f>IF(ISERR(SEARCH("UP",Tabela_kier_nst[[#This Row],[Umiej.prakt.]],1)),0,Tabela_kier_nst[[#This Row],[ects.razem]])</f>
        <v>1</v>
      </c>
      <c r="AP69" s="224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69" s="225">
        <f>SUM(Tabela_kier_nst[[#This Row],[godziny.samoksztalcenie]],Tabela_kier_nst[[#This Row],[godziny.konsultacja]],Tabela_kier_nst[[#This Row],[godziny.egzamin]],Tabela_kier_nst[[#This Row],[godziny.zajec.razem]])</f>
        <v>27</v>
      </c>
      <c r="AR69" s="226">
        <f>Tabela_kier[[#This Row],[godziny.samoksztalcenie]]+(Tabela_kier[[#This Row],[godziny.zajec.razem]]-Tabela_kier_nst[[#This Row],[godziny.zajec.razem]])</f>
        <v>15</v>
      </c>
      <c r="AS69" s="227">
        <f>Tabela_kier[[#This Row],[godziny.konsultacja]]</f>
        <v>1</v>
      </c>
      <c r="AT69" s="228">
        <f>Tabela_kier[[#This Row],[godziny.egzamin]]</f>
        <v>2</v>
      </c>
      <c r="AU69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69" s="326">
        <f>IF(Tabela_kier_nst[[#This Row],[ects.bezposr.nauczyciel]],Tabela_kier_nst[[#This Row],[ects.bezposr.nauczyciel]]/Tabela_kier_nst[[#This Row],[ects.razem]],0)</f>
        <v>0.5</v>
      </c>
      <c r="AW69" s="49"/>
    </row>
    <row r="70" spans="1:49" ht="25.5" customHeight="1" x14ac:dyDescent="0.3">
      <c r="A70" s="207"/>
      <c r="B70" s="331" t="str">
        <f>IF(Tabela_kier[[#This Row],[kod.isced]]&lt;&gt;"",Tabela_kier[[#This Row],[kod.isced]],"")</f>
        <v>0412</v>
      </c>
      <c r="C70" s="332">
        <f>IF(Tabela_kier[[#This Row],[kod.dziedziny]]&lt;&gt;"",Tabela_kier[[#This Row],[kod.dziedziny]],"")</f>
        <v>501</v>
      </c>
      <c r="D70" s="193" t="str">
        <f>IF(Tabela_kier[[#This Row],[Modul]]&lt;&gt;"",Tabela_kier[[#This Row],[Modul]],"")</f>
        <v>kr.15.2</v>
      </c>
      <c r="E70" s="193" t="str">
        <f>IF(Tabela_kier[[#This Row],[Umiej.prakt.]]&lt;&gt;"",Tabela_kier[[#This Row],[Umiej.prakt.]],"")</f>
        <v>up</v>
      </c>
      <c r="F70" s="308" t="str">
        <f>IF(Tabela_kier[[#This Row],[Nazwa przedmiotu]]&lt;&gt;"",Tabela_kier[[#This Row],[Nazwa przedmiotu]],"")</f>
        <v>Kalkulacje finansowe z Excelem</v>
      </c>
      <c r="G70" s="309" t="str">
        <f>IF(Tabela_kier[[#This Row],[Prowadzacy]]&lt;&gt;"",Tabela_kier[[#This Row],[Prowadzacy]],"")</f>
        <v/>
      </c>
      <c r="H70" s="155" t="str">
        <f>IF(Tabela_kier[[#This Row],[Forma]]&lt;&gt;"",Tabela_kier[[#This Row],[Forma]],"")</f>
        <v>laboratoria</v>
      </c>
      <c r="I70" s="156" t="str">
        <f>IF(Tabela_kier[[#This Row],[czy.ects]]&lt;&gt;"",Tabela_kier[[#This Row],[czy.ects]],"")</f>
        <v>TAK</v>
      </c>
      <c r="J70" s="356" t="str">
        <f>IF(Tabela_kier[[#This Row],[sem1.godziny]]&lt;&gt;"",IF(Tabela_kier[[#This Row],[sem1.godziny]]&gt;14,Tabela_kier[[#This Row],[sem1.godziny]]*0.6,Tabela_kier[[#This Row],[sem1.godziny]]),"")</f>
        <v/>
      </c>
      <c r="K70" s="356" t="str" cm="1">
        <f t="array" ref="K70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70" s="356" t="str">
        <f>IF(Tabela_kier[[#This Row],[sem1.forma]]&lt;&gt;"",Tabela_kier[[#This Row],[sem1.forma]],"")</f>
        <v/>
      </c>
      <c r="M70" s="357" t="str">
        <f>IF(Tabela_kier[[#This Row],[sem2.godziny]]&lt;&gt;"",IF(Tabela_kier[[#This Row],[sem2.godziny]]&gt;14,Tabela_kier[[#This Row],[sem2.godziny]]*0.6,Tabela_kier[[#This Row],[sem2.godziny]]),"")</f>
        <v/>
      </c>
      <c r="N70" s="357" t="str" cm="1">
        <f t="array" ref="N70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70" s="357" t="str">
        <f>IF(Tabela_kier[[#This Row],[sem2.forma]]&lt;&gt;"",Tabela_kier[[#This Row],[sem2.forma]],"")</f>
        <v/>
      </c>
      <c r="P70" s="358" t="str">
        <f>IF(Tabela_kier[[#This Row],[sem3.godziny]]&lt;&gt;"",IF(Tabela_kier[[#This Row],[sem3.godziny]]&gt;14,Tabela_kier[[#This Row],[sem3.godziny]]*0.6,Tabela_kier[[#This Row],[sem3.godziny]]),"")</f>
        <v/>
      </c>
      <c r="Q70" s="359" t="str" cm="1">
        <f t="array" ref="Q70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70" s="358" t="str">
        <f>IF(Tabela_kier[[#This Row],[sem3.forma]]&lt;&gt;"",Tabela_kier[[#This Row],[sem3.forma]],"")</f>
        <v/>
      </c>
      <c r="S70" s="355" t="str">
        <f>IF(Tabela_kier[[#This Row],[sem4.godziny]]&lt;&gt;"",IF(Tabela_kier[[#This Row],[sem4.godziny]]&gt;14,Tabela_kier[[#This Row],[sem4.godziny]]*0.6,Tabela_kier[[#This Row],[sem4.godziny]]),"")</f>
        <v/>
      </c>
      <c r="T70" s="355" t="str" cm="1">
        <f t="array" ref="T70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70" s="355" t="str">
        <f>IF(Tabela_kier[[#This Row],[sem4.forma]]&lt;&gt;"",Tabela_kier[[#This Row],[sem4.forma]],"")</f>
        <v/>
      </c>
      <c r="V70" s="216" t="str">
        <f>IF(Tabela_kier[[#This Row],[sem5.godziny]]&lt;&gt;"",IF(Tabela_kier[[#This Row],[sem5.godziny]]&gt;14,Tabela_kier[[#This Row],[sem5.godziny]]*0.6,Tabela_kier[[#This Row],[sem5.godziny]]),"")</f>
        <v/>
      </c>
      <c r="W70" s="216" t="str" cm="1">
        <f t="array" ref="W70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0" s="216" t="str">
        <f>IF(Tabela_kier[[#This Row],[sem5.forma]]&lt;&gt;"",Tabela_kier[[#This Row],[sem5.forma]],"")</f>
        <v/>
      </c>
      <c r="Y70" s="217">
        <f>IF(Tabela_kier[[#This Row],[sem6.godziny]]&lt;&gt;"",IF(Tabela_kier[[#This Row],[sem6.godziny]]&gt;14,Tabela_kier[[#This Row],[sem6.godziny]]*0.6,Tabela_kier[[#This Row],[sem6.godziny]]),"")</f>
        <v>9</v>
      </c>
      <c r="Z70" s="217">
        <v>1</v>
      </c>
      <c r="AA70" s="217" t="str">
        <f>IF(Tabela_kier[[#This Row],[sem6.forma]]&lt;&gt;"",Tabela_kier[[#This Row],[sem6.forma]],"")</f>
        <v>z</v>
      </c>
      <c r="AB70" s="218" t="str">
        <f>IF(Tabela_kier[[#This Row],[sem7.godziny]]&lt;&gt;"",IF(Tabela_kier[[#This Row],[sem7.godziny]]&gt;14,Tabela_kier[[#This Row],[sem7.godziny]]*0.6,Tabela_kier[[#This Row],[sem7.godziny]]),"")</f>
        <v/>
      </c>
      <c r="AC70" s="218" t="str" cm="1">
        <f t="array" ref="AC70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0" s="218" t="str">
        <f>IF(Tabela_kier[[#This Row],[sem7.forma]]&lt;&gt;"",Tabela_kier[[#This Row],[sem7.forma]],"")</f>
        <v/>
      </c>
      <c r="AE70" s="219" t="str">
        <f>IF(Tabela_kier[[#This Row],[sem8.godziny]]&lt;&gt;"",IF(Tabela_kier[[#This Row],[sem8.godziny]]&gt;14,Tabela_kier[[#This Row],[sem8.godziny]]*0.6,Tabela_kier[[#This Row],[sem8.godziny]]),"")</f>
        <v/>
      </c>
      <c r="AF70" s="219" t="str" cm="1">
        <f t="array" ref="AF70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0" s="219" t="str">
        <f>IF(Tabela_kier[[#This Row],[sem8.forma]]&lt;&gt;"",Tabela_kier[[#This Row],[sem8.forma]],"")</f>
        <v/>
      </c>
      <c r="AH70" s="220" t="str">
        <f>IF(Tabela_kier[[#This Row],[sem9.godziny]]&lt;&gt;"",IF(Tabela_kier[[#This Row],[sem9.godziny]]&gt;14,Tabela_kier[[#This Row],[sem9.godziny]]*0.6,Tabela_kier[[#This Row],[sem9.godziny]]),"")</f>
        <v/>
      </c>
      <c r="AI70" s="220" t="str" cm="1">
        <f t="array" ref="AI70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0" s="220" t="str">
        <f>IF(Tabela_kier[[#This Row],[sem9.forma]]&lt;&gt;"",Tabela_kier[[#This Row],[sem9.forma]],"")</f>
        <v/>
      </c>
      <c r="AK70" s="221" t="str">
        <f>IF(Tabela_kier[[#This Row],[sem10.godziny]]&lt;&gt;"",IF(Tabela_kier[[#This Row],[sem10.godziny]]&gt;14,Tabela_kier[[#This Row],[sem10.godziny]]*0.6,Tabela_kier[[#This Row],[sem10.godziny]]),"")</f>
        <v/>
      </c>
      <c r="AL70" s="221" t="str" cm="1">
        <f t="array" ref="AL70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0" s="221" t="str">
        <f>IF(Tabela_kier[[#This Row],[sem10.forma]]&lt;&gt;"",Tabela_kier[[#This Row],[sem10.forma]],"")</f>
        <v/>
      </c>
      <c r="AN70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70" s="223">
        <f>IF(ISERR(SEARCH("UP",Tabela_kier_nst[[#This Row],[Umiej.prakt.]],1)),0,Tabela_kier_nst[[#This Row],[ects.razem]])</f>
        <v>1</v>
      </c>
      <c r="AP70" s="224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70" s="225">
        <f>SUM(Tabela_kier_nst[[#This Row],[godziny.samoksztalcenie]],Tabela_kier_nst[[#This Row],[godziny.konsultacja]],Tabela_kier_nst[[#This Row],[godziny.egzamin]],Tabela_kier_nst[[#This Row],[godziny.zajec.razem]])</f>
        <v>27</v>
      </c>
      <c r="AR70" s="226">
        <f>Tabela_kier[[#This Row],[godziny.samoksztalcenie]]+(Tabela_kier[[#This Row],[godziny.zajec.razem]]-Tabela_kier_nst[[#This Row],[godziny.zajec.razem]])</f>
        <v>15</v>
      </c>
      <c r="AS70" s="227">
        <f>Tabela_kier[[#This Row],[godziny.konsultacja]]</f>
        <v>1</v>
      </c>
      <c r="AT70" s="228">
        <f>Tabela_kier[[#This Row],[godziny.egzamin]]</f>
        <v>2</v>
      </c>
      <c r="AU70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70" s="326">
        <f>IF(Tabela_kier_nst[[#This Row],[ects.bezposr.nauczyciel]],Tabela_kier_nst[[#This Row],[ects.bezposr.nauczyciel]]/Tabela_kier_nst[[#This Row],[ects.razem]],0)</f>
        <v>0.5</v>
      </c>
      <c r="AW70" s="49"/>
    </row>
    <row r="71" spans="1:49" ht="25.5" customHeight="1" x14ac:dyDescent="0.3">
      <c r="A71" s="207"/>
      <c r="B71" s="331" t="str">
        <f>IF(Tabela_kier[[#This Row],[kod.isced]]&lt;&gt;"",Tabela_kier[[#This Row],[kod.isced]],"")</f>
        <v>0421</v>
      </c>
      <c r="C71" s="332">
        <f>IF(Tabela_kier[[#This Row],[kod.dziedziny]]&lt;&gt;"",Tabela_kier[[#This Row],[kod.dziedziny]],"")</f>
        <v>507</v>
      </c>
      <c r="D71" s="193" t="str">
        <f>IF(Tabela_kier[[#This Row],[Modul]]&lt;&gt;"",Tabela_kier[[#This Row],[Modul]],"")</f>
        <v>kr.16.1</v>
      </c>
      <c r="E71" s="193" t="str">
        <f>IF(Tabela_kier[[#This Row],[Umiej.prakt.]]&lt;&gt;"",Tabela_kier[[#This Row],[Umiej.prakt.]],"")</f>
        <v/>
      </c>
      <c r="F71" s="327" t="str">
        <f>IF(Tabela_kier[[#This Row],[Nazwa przedmiotu]]&lt;&gt;"",Tabela_kier[[#This Row],[Nazwa przedmiotu]],"")</f>
        <v>Prawo karne gospodarcze</v>
      </c>
      <c r="G71" s="309" t="str">
        <f>IF(Tabela_kier[[#This Row],[Prowadzacy]]&lt;&gt;"",Tabela_kier[[#This Row],[Prowadzacy]],"")</f>
        <v/>
      </c>
      <c r="H71" s="155" t="str">
        <f>IF(Tabela_kier[[#This Row],[Forma]]&lt;&gt;"",Tabela_kier[[#This Row],[Forma]],"")</f>
        <v>konwersatorium</v>
      </c>
      <c r="I71" s="156" t="str">
        <f>IF(Tabela_kier[[#This Row],[czy.ects]]&lt;&gt;"",Tabela_kier[[#This Row],[czy.ects]],"")</f>
        <v>TAK</v>
      </c>
      <c r="J71" s="356" t="str">
        <f>IF(Tabela_kier[[#This Row],[sem1.godziny]]&lt;&gt;"",IF(Tabela_kier[[#This Row],[sem1.godziny]]&gt;14,Tabela_kier[[#This Row],[sem1.godziny]]*0.6,Tabela_kier[[#This Row],[sem1.godziny]]),"")</f>
        <v/>
      </c>
      <c r="K71" s="356" t="str" cm="1">
        <f t="array" ref="K71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71" s="356" t="str">
        <f>IF(Tabela_kier[[#This Row],[sem1.forma]]&lt;&gt;"",Tabela_kier[[#This Row],[sem1.forma]],"")</f>
        <v/>
      </c>
      <c r="M71" s="357" t="str">
        <f>IF(Tabela_kier[[#This Row],[sem2.godziny]]&lt;&gt;"",IF(Tabela_kier[[#This Row],[sem2.godziny]]&gt;14,Tabela_kier[[#This Row],[sem2.godziny]]*0.6,Tabela_kier[[#This Row],[sem2.godziny]]),"")</f>
        <v/>
      </c>
      <c r="N71" s="357" t="str" cm="1">
        <f t="array" ref="N71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71" s="357" t="str">
        <f>IF(Tabela_kier[[#This Row],[sem2.forma]]&lt;&gt;"",Tabela_kier[[#This Row],[sem2.forma]],"")</f>
        <v/>
      </c>
      <c r="P71" s="358" t="str">
        <f>IF(Tabela_kier[[#This Row],[sem3.godziny]]&lt;&gt;"",IF(Tabela_kier[[#This Row],[sem3.godziny]]&gt;14,Tabela_kier[[#This Row],[sem3.godziny]]*0.6,Tabela_kier[[#This Row],[sem3.godziny]]),"")</f>
        <v/>
      </c>
      <c r="Q71" s="359" t="str" cm="1">
        <f t="array" ref="Q71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71" s="358" t="str">
        <f>IF(Tabela_kier[[#This Row],[sem3.forma]]&lt;&gt;"",Tabela_kier[[#This Row],[sem3.forma]],"")</f>
        <v/>
      </c>
      <c r="S71" s="355" t="str">
        <f>IF(Tabela_kier[[#This Row],[sem4.godziny]]&lt;&gt;"",IF(Tabela_kier[[#This Row],[sem4.godziny]]&gt;14,Tabela_kier[[#This Row],[sem4.godziny]]*0.6,Tabela_kier[[#This Row],[sem4.godziny]]),"")</f>
        <v/>
      </c>
      <c r="T71" s="355" t="str" cm="1">
        <f t="array" ref="T71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71" s="355" t="str">
        <f>IF(Tabela_kier[[#This Row],[sem4.forma]]&lt;&gt;"",Tabela_kier[[#This Row],[sem4.forma]],"")</f>
        <v/>
      </c>
      <c r="V71" s="216" t="str">
        <f>IF(Tabela_kier[[#This Row],[sem5.godziny]]&lt;&gt;"",IF(Tabela_kier[[#This Row],[sem5.godziny]]&gt;14,Tabela_kier[[#This Row],[sem5.godziny]]*0.6,Tabela_kier[[#This Row],[sem5.godziny]]),"")</f>
        <v/>
      </c>
      <c r="W71" s="216" t="str" cm="1">
        <f t="array" ref="W71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1" s="216" t="str">
        <f>IF(Tabela_kier[[#This Row],[sem5.forma]]&lt;&gt;"",Tabela_kier[[#This Row],[sem5.forma]],"")</f>
        <v/>
      </c>
      <c r="Y71" s="217">
        <f>IF(Tabela_kier[[#This Row],[sem6.godziny]]&lt;&gt;"",IF(Tabela_kier[[#This Row],[sem6.godziny]]&gt;14,Tabela_kier[[#This Row],[sem6.godziny]]*0.6,Tabela_kier[[#This Row],[sem6.godziny]]),"")</f>
        <v>18</v>
      </c>
      <c r="Z71" s="217">
        <v>3</v>
      </c>
      <c r="AA71" s="217" t="str">
        <f>IF(Tabela_kier[[#This Row],[sem6.forma]]&lt;&gt;"",Tabela_kier[[#This Row],[sem6.forma]],"")</f>
        <v>z</v>
      </c>
      <c r="AB71" s="218" t="str">
        <f>IF(Tabela_kier[[#This Row],[sem7.godziny]]&lt;&gt;"",IF(Tabela_kier[[#This Row],[sem7.godziny]]&gt;14,Tabela_kier[[#This Row],[sem7.godziny]]*0.6,Tabela_kier[[#This Row],[sem7.godziny]]),"")</f>
        <v/>
      </c>
      <c r="AC71" s="218" t="str" cm="1">
        <f t="array" ref="AC71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1" s="218" t="str">
        <f>IF(Tabela_kier[[#This Row],[sem7.forma]]&lt;&gt;"",Tabela_kier[[#This Row],[sem7.forma]],"")</f>
        <v/>
      </c>
      <c r="AE71" s="219" t="str">
        <f>IF(Tabela_kier[[#This Row],[sem8.godziny]]&lt;&gt;"",IF(Tabela_kier[[#This Row],[sem8.godziny]]&gt;14,Tabela_kier[[#This Row],[sem8.godziny]]*0.6,Tabela_kier[[#This Row],[sem8.godziny]]),"")</f>
        <v/>
      </c>
      <c r="AF71" s="219" t="str" cm="1">
        <f t="array" ref="AF71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1" s="219" t="str">
        <f>IF(Tabela_kier[[#This Row],[sem8.forma]]&lt;&gt;"",Tabela_kier[[#This Row],[sem8.forma]],"")</f>
        <v/>
      </c>
      <c r="AH71" s="220" t="str">
        <f>IF(Tabela_kier[[#This Row],[sem9.godziny]]&lt;&gt;"",IF(Tabela_kier[[#This Row],[sem9.godziny]]&gt;14,Tabela_kier[[#This Row],[sem9.godziny]]*0.6,Tabela_kier[[#This Row],[sem9.godziny]]),"")</f>
        <v/>
      </c>
      <c r="AI71" s="220" t="str" cm="1">
        <f t="array" ref="AI71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1" s="220" t="str">
        <f>IF(Tabela_kier[[#This Row],[sem9.forma]]&lt;&gt;"",Tabela_kier[[#This Row],[sem9.forma]],"")</f>
        <v/>
      </c>
      <c r="AK71" s="221" t="str">
        <f>IF(Tabela_kier[[#This Row],[sem10.godziny]]&lt;&gt;"",IF(Tabela_kier[[#This Row],[sem10.godziny]]&gt;14,Tabela_kier[[#This Row],[sem10.godziny]]*0.6,Tabela_kier[[#This Row],[sem10.godziny]]),"")</f>
        <v/>
      </c>
      <c r="AL71" s="221" t="str" cm="1">
        <f t="array" ref="AL71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1" s="221" t="str">
        <f>IF(Tabela_kier[[#This Row],[sem10.forma]]&lt;&gt;"",Tabela_kier[[#This Row],[sem10.forma]],"")</f>
        <v/>
      </c>
      <c r="AN71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71" s="223">
        <f>IF(ISERR(SEARCH("UP",Tabela_kier_nst[[#This Row],[Umiej.prakt.]],1)),0,Tabela_kier_nst[[#This Row],[ects.razem]])</f>
        <v>0</v>
      </c>
      <c r="AP71" s="224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71" s="225">
        <f>SUM(Tabela_kier_nst[[#This Row],[godziny.samoksztalcenie]],Tabela_kier_nst[[#This Row],[godziny.konsultacja]],Tabela_kier_nst[[#This Row],[godziny.egzamin]],Tabela_kier_nst[[#This Row],[godziny.zajec.razem]])</f>
        <v>52</v>
      </c>
      <c r="AR71" s="226">
        <f>Tabela_kier[[#This Row],[godziny.samoksztalcenie]]+(Tabela_kier[[#This Row],[godziny.zajec.razem]]-Tabela_kier_nst[[#This Row],[godziny.zajec.razem]])</f>
        <v>29</v>
      </c>
      <c r="AS71" s="227">
        <f>Tabela_kier[[#This Row],[godziny.konsultacja]]</f>
        <v>3</v>
      </c>
      <c r="AT71" s="228">
        <f>Tabela_kier[[#This Row],[godziny.egzamin]]</f>
        <v>2</v>
      </c>
      <c r="AU71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71" s="326">
        <f>IF(Tabela_kier_nst[[#This Row],[ects.bezposr.nauczyciel]],Tabela_kier_nst[[#This Row],[ects.bezposr.nauczyciel]]/Tabela_kier_nst[[#This Row],[ects.razem]],0)</f>
        <v>0.33333333333333331</v>
      </c>
      <c r="AW71" s="49"/>
    </row>
    <row r="72" spans="1:49" ht="25.5" customHeight="1" x14ac:dyDescent="0.3">
      <c r="A72" s="207"/>
      <c r="B72" s="331" t="str">
        <f>IF(Tabela_kier[[#This Row],[kod.isced]]&lt;&gt;"",Tabela_kier[[#This Row],[kod.isced]],"")</f>
        <v>0421</v>
      </c>
      <c r="C72" s="332">
        <f>IF(Tabela_kier[[#This Row],[kod.dziedziny]]&lt;&gt;"",Tabela_kier[[#This Row],[kod.dziedziny]],"")</f>
        <v>507</v>
      </c>
      <c r="D72" s="193" t="str">
        <f>IF(Tabela_kier[[#This Row],[Modul]]&lt;&gt;"",Tabela_kier[[#This Row],[Modul]],"")</f>
        <v>kr.16.2</v>
      </c>
      <c r="E72" s="193" t="str">
        <f>IF(Tabela_kier[[#This Row],[Umiej.prakt.]]&lt;&gt;"",Tabela_kier[[#This Row],[Umiej.prakt.]],"")</f>
        <v/>
      </c>
      <c r="F72" s="327" t="str">
        <f>IF(Tabela_kier[[#This Row],[Nazwa przedmiotu]]&lt;&gt;"",Tabela_kier[[#This Row],[Nazwa przedmiotu]],"")</f>
        <v>Prawo karne gospodarcze</v>
      </c>
      <c r="G72" s="309" t="str">
        <f>IF(Tabela_kier[[#This Row],[Prowadzacy]]&lt;&gt;"",Tabela_kier[[#This Row],[Prowadzacy]],"")</f>
        <v/>
      </c>
      <c r="H72" s="155" t="str">
        <f>IF(Tabela_kier[[#This Row],[Forma]]&lt;&gt;"",Tabela_kier[[#This Row],[Forma]],"")</f>
        <v>ćwiczenia</v>
      </c>
      <c r="I72" s="156" t="str">
        <f>IF(Tabela_kier[[#This Row],[czy.ects]]&lt;&gt;"",Tabela_kier[[#This Row],[czy.ects]],"")</f>
        <v>TAK</v>
      </c>
      <c r="J72" s="356" t="str">
        <f>IF(Tabela_kier[[#This Row],[sem1.godziny]]&lt;&gt;"",IF(Tabela_kier[[#This Row],[sem1.godziny]]&gt;14,Tabela_kier[[#This Row],[sem1.godziny]]*0.6,Tabela_kier[[#This Row],[sem1.godziny]]),"")</f>
        <v/>
      </c>
      <c r="K72" s="356" t="str" cm="1">
        <f t="array" ref="K72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72" s="356" t="str">
        <f>IF(Tabela_kier[[#This Row],[sem1.forma]]&lt;&gt;"",Tabela_kier[[#This Row],[sem1.forma]],"")</f>
        <v/>
      </c>
      <c r="M72" s="357" t="str">
        <f>IF(Tabela_kier[[#This Row],[sem2.godziny]]&lt;&gt;"",IF(Tabela_kier[[#This Row],[sem2.godziny]]&gt;14,Tabela_kier[[#This Row],[sem2.godziny]]*0.6,Tabela_kier[[#This Row],[sem2.godziny]]),"")</f>
        <v/>
      </c>
      <c r="N72" s="357" t="str" cm="1">
        <f t="array" ref="N72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72" s="357" t="str">
        <f>IF(Tabela_kier[[#This Row],[sem2.forma]]&lt;&gt;"",Tabela_kier[[#This Row],[sem2.forma]],"")</f>
        <v/>
      </c>
      <c r="P72" s="358" t="str">
        <f>IF(Tabela_kier[[#This Row],[sem3.godziny]]&lt;&gt;"",IF(Tabela_kier[[#This Row],[sem3.godziny]]&gt;14,Tabela_kier[[#This Row],[sem3.godziny]]*0.6,Tabela_kier[[#This Row],[sem3.godziny]]),"")</f>
        <v/>
      </c>
      <c r="Q72" s="359" t="str" cm="1">
        <f t="array" ref="Q72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72" s="358" t="str">
        <f>IF(Tabela_kier[[#This Row],[sem3.forma]]&lt;&gt;"",Tabela_kier[[#This Row],[sem3.forma]],"")</f>
        <v/>
      </c>
      <c r="S72" s="355" t="str">
        <f>IF(Tabela_kier[[#This Row],[sem4.godziny]]&lt;&gt;"",IF(Tabela_kier[[#This Row],[sem4.godziny]]&gt;14,Tabela_kier[[#This Row],[sem4.godziny]]*0.6,Tabela_kier[[#This Row],[sem4.godziny]]),"")</f>
        <v/>
      </c>
      <c r="T72" s="355" t="str" cm="1">
        <f t="array" ref="T72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72" s="355" t="str">
        <f>IF(Tabela_kier[[#This Row],[sem4.forma]]&lt;&gt;"",Tabela_kier[[#This Row],[sem4.forma]],"")</f>
        <v/>
      </c>
      <c r="V72" s="216" t="str">
        <f>IF(Tabela_kier[[#This Row],[sem5.godziny]]&lt;&gt;"",IF(Tabela_kier[[#This Row],[sem5.godziny]]&gt;14,Tabela_kier[[#This Row],[sem5.godziny]]*0.6,Tabela_kier[[#This Row],[sem5.godziny]]),"")</f>
        <v/>
      </c>
      <c r="W72" s="216" t="str" cm="1">
        <f t="array" ref="W72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2" s="216" t="str">
        <f>IF(Tabela_kier[[#This Row],[sem5.forma]]&lt;&gt;"",Tabela_kier[[#This Row],[sem5.forma]],"")</f>
        <v/>
      </c>
      <c r="Y72" s="217">
        <f>IF(Tabela_kier[[#This Row],[sem6.godziny]]&lt;&gt;"",IF(Tabela_kier[[#This Row],[sem6.godziny]]&gt;14,Tabela_kier[[#This Row],[sem6.godziny]]*0.6,Tabela_kier[[#This Row],[sem6.godziny]]),"")</f>
        <v>18</v>
      </c>
      <c r="Z72" s="217">
        <v>3</v>
      </c>
      <c r="AA72" s="217" t="str">
        <f>IF(Tabela_kier[[#This Row],[sem6.forma]]&lt;&gt;"",Tabela_kier[[#This Row],[sem6.forma]],"")</f>
        <v>z</v>
      </c>
      <c r="AB72" s="218" t="str">
        <f>IF(Tabela_kier[[#This Row],[sem7.godziny]]&lt;&gt;"",IF(Tabela_kier[[#This Row],[sem7.godziny]]&gt;14,Tabela_kier[[#This Row],[sem7.godziny]]*0.6,Tabela_kier[[#This Row],[sem7.godziny]]),"")</f>
        <v/>
      </c>
      <c r="AC72" s="218" t="str" cm="1">
        <f t="array" ref="AC72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2" s="218" t="str">
        <f>IF(Tabela_kier[[#This Row],[sem7.forma]]&lt;&gt;"",Tabela_kier[[#This Row],[sem7.forma]],"")</f>
        <v/>
      </c>
      <c r="AE72" s="219" t="str">
        <f>IF(Tabela_kier[[#This Row],[sem8.godziny]]&lt;&gt;"",IF(Tabela_kier[[#This Row],[sem8.godziny]]&gt;14,Tabela_kier[[#This Row],[sem8.godziny]]*0.6,Tabela_kier[[#This Row],[sem8.godziny]]),"")</f>
        <v/>
      </c>
      <c r="AF72" s="219" t="str" cm="1">
        <f t="array" ref="AF72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2" s="219" t="str">
        <f>IF(Tabela_kier[[#This Row],[sem8.forma]]&lt;&gt;"",Tabela_kier[[#This Row],[sem8.forma]],"")</f>
        <v/>
      </c>
      <c r="AH72" s="220" t="str">
        <f>IF(Tabela_kier[[#This Row],[sem9.godziny]]&lt;&gt;"",IF(Tabela_kier[[#This Row],[sem9.godziny]]&gt;14,Tabela_kier[[#This Row],[sem9.godziny]]*0.6,Tabela_kier[[#This Row],[sem9.godziny]]),"")</f>
        <v/>
      </c>
      <c r="AI72" s="220" t="str" cm="1">
        <f t="array" ref="AI72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2" s="220" t="str">
        <f>IF(Tabela_kier[[#This Row],[sem9.forma]]&lt;&gt;"",Tabela_kier[[#This Row],[sem9.forma]],"")</f>
        <v/>
      </c>
      <c r="AK72" s="221" t="str">
        <f>IF(Tabela_kier[[#This Row],[sem10.godziny]]&lt;&gt;"",IF(Tabela_kier[[#This Row],[sem10.godziny]]&gt;14,Tabela_kier[[#This Row],[sem10.godziny]]*0.6,Tabela_kier[[#This Row],[sem10.godziny]]),"")</f>
        <v/>
      </c>
      <c r="AL72" s="221" t="str" cm="1">
        <f t="array" ref="AL72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2" s="221" t="str">
        <f>IF(Tabela_kier[[#This Row],[sem10.forma]]&lt;&gt;"",Tabela_kier[[#This Row],[sem10.forma]],"")</f>
        <v/>
      </c>
      <c r="AN72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72" s="223">
        <f>IF(ISERR(SEARCH("UP",Tabela_kier_nst[[#This Row],[Umiej.prakt.]],1)),0,Tabela_kier_nst[[#This Row],[ects.razem]])</f>
        <v>0</v>
      </c>
      <c r="AP72" s="224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72" s="225">
        <f>SUM(Tabela_kier_nst[[#This Row],[godziny.samoksztalcenie]],Tabela_kier_nst[[#This Row],[godziny.konsultacja]],Tabela_kier_nst[[#This Row],[godziny.egzamin]],Tabela_kier_nst[[#This Row],[godziny.zajec.razem]])</f>
        <v>52</v>
      </c>
      <c r="AR72" s="226">
        <f>Tabela_kier[[#This Row],[godziny.samoksztalcenie]]+(Tabela_kier[[#This Row],[godziny.zajec.razem]]-Tabela_kier_nst[[#This Row],[godziny.zajec.razem]])</f>
        <v>29</v>
      </c>
      <c r="AS72" s="227">
        <f>Tabela_kier[[#This Row],[godziny.konsultacja]]</f>
        <v>3</v>
      </c>
      <c r="AT72" s="228">
        <f>Tabela_kier[[#This Row],[godziny.egzamin]]</f>
        <v>2</v>
      </c>
      <c r="AU72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72" s="326">
        <f>IF(Tabela_kier_nst[[#This Row],[ects.bezposr.nauczyciel]],Tabela_kier_nst[[#This Row],[ects.bezposr.nauczyciel]]/Tabela_kier_nst[[#This Row],[ects.razem]],0)</f>
        <v>0.33333333333333331</v>
      </c>
      <c r="AW72" s="49"/>
    </row>
    <row r="73" spans="1:49" ht="25.5" customHeight="1" x14ac:dyDescent="0.3">
      <c r="A73" s="207"/>
      <c r="B73" s="331" t="str">
        <f>IF(Tabela_kier[[#This Row],[kod.isced]]&lt;&gt;"",Tabela_kier[[#This Row],[kod.isced]],"")</f>
        <v>0413</v>
      </c>
      <c r="C73" s="332">
        <f>IF(Tabela_kier[[#This Row],[kod.dziedziny]]&lt;&gt;"",Tabela_kier[[#This Row],[kod.dziedziny]],"")</f>
        <v>505</v>
      </c>
      <c r="D73" s="193" t="str">
        <f>IF(Tabela_kier[[#This Row],[Modul]]&lt;&gt;"",Tabela_kier[[#This Row],[Modul]],"")</f>
        <v>kr.17.1</v>
      </c>
      <c r="E73" s="193" t="str">
        <f>IF(Tabela_kier[[#This Row],[Umiej.prakt.]]&lt;&gt;"",Tabela_kier[[#This Row],[Umiej.prakt.]],"")</f>
        <v/>
      </c>
      <c r="F73" s="327" t="str">
        <f>IF(Tabela_kier[[#This Row],[Nazwa przedmiotu]]&lt;&gt;"",Tabela_kier[[#This Row],[Nazwa przedmiotu]],"")</f>
        <v>Zamówienia publiczne</v>
      </c>
      <c r="G73" s="309" t="str">
        <f>IF(Tabela_kier[[#This Row],[Prowadzacy]]&lt;&gt;"",Tabela_kier[[#This Row],[Prowadzacy]],"")</f>
        <v/>
      </c>
      <c r="H73" s="155" t="str">
        <f>IF(Tabela_kier[[#This Row],[Forma]]&lt;&gt;"",Tabela_kier[[#This Row],[Forma]],"")</f>
        <v>konwersatorium</v>
      </c>
      <c r="I73" s="156" t="str">
        <f>IF(Tabela_kier[[#This Row],[czy.ects]]&lt;&gt;"",Tabela_kier[[#This Row],[czy.ects]],"")</f>
        <v>TAK</v>
      </c>
      <c r="J73" s="356" t="str">
        <f>IF(Tabela_kier[[#This Row],[sem1.godziny]]&lt;&gt;"",IF(Tabela_kier[[#This Row],[sem1.godziny]]&gt;14,Tabela_kier[[#This Row],[sem1.godziny]]*0.6,Tabela_kier[[#This Row],[sem1.godziny]]),"")</f>
        <v/>
      </c>
      <c r="K73" s="356"/>
      <c r="L73" s="356" t="str">
        <f>IF(Tabela_kier[[#This Row],[sem1.forma]]&lt;&gt;"",Tabela_kier[[#This Row],[sem1.forma]],"")</f>
        <v/>
      </c>
      <c r="M73" s="357" t="str">
        <f>IF(Tabela_kier[[#This Row],[sem2.godziny]]&lt;&gt;"",IF(Tabela_kier[[#This Row],[sem2.godziny]]&gt;14,Tabela_kier[[#This Row],[sem2.godziny]]*0.6,Tabela_kier[[#This Row],[sem2.godziny]]),"")</f>
        <v/>
      </c>
      <c r="N73" s="357" t="str" cm="1">
        <f t="array" ref="N73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73" s="357" t="str">
        <f>IF(Tabela_kier[[#This Row],[sem2.forma]]&lt;&gt;"",Tabela_kier[[#This Row],[sem2.forma]],"")</f>
        <v/>
      </c>
      <c r="P73" s="358" t="str">
        <f>IF(Tabela_kier[[#This Row],[sem3.godziny]]&lt;&gt;"",IF(Tabela_kier[[#This Row],[sem3.godziny]]&gt;14,Tabela_kier[[#This Row],[sem3.godziny]]*0.6,Tabela_kier[[#This Row],[sem3.godziny]]),"")</f>
        <v/>
      </c>
      <c r="Q73" s="359" t="str" cm="1">
        <f t="array" ref="Q73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73" s="358" t="str">
        <f>IF(Tabela_kier[[#This Row],[sem3.forma]]&lt;&gt;"",Tabela_kier[[#This Row],[sem3.forma]],"")</f>
        <v/>
      </c>
      <c r="S73" s="355" t="str">
        <f>IF(Tabela_kier[[#This Row],[sem4.godziny]]&lt;&gt;"",IF(Tabela_kier[[#This Row],[sem4.godziny]]&gt;14,Tabela_kier[[#This Row],[sem4.godziny]]*0.6,Tabela_kier[[#This Row],[sem4.godziny]]),"")</f>
        <v/>
      </c>
      <c r="T73" s="355" t="str" cm="1">
        <f t="array" ref="T73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73" s="355" t="str">
        <f>IF(Tabela_kier[[#This Row],[sem4.forma]]&lt;&gt;"",Tabela_kier[[#This Row],[sem4.forma]],"")</f>
        <v/>
      </c>
      <c r="V73" s="216" t="str">
        <f>IF(Tabela_kier[[#This Row],[sem5.godziny]]&lt;&gt;"",IF(Tabela_kier[[#This Row],[sem5.godziny]]&gt;14,Tabela_kier[[#This Row],[sem5.godziny]]*0.6,Tabela_kier[[#This Row],[sem5.godziny]]),"")</f>
        <v/>
      </c>
      <c r="W73" s="216" t="str" cm="1">
        <f t="array" ref="W73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3" s="216" t="str">
        <f>IF(Tabela_kier[[#This Row],[sem5.forma]]&lt;&gt;"",Tabela_kier[[#This Row],[sem5.forma]],"")</f>
        <v/>
      </c>
      <c r="Y73" s="217">
        <f>IF(Tabela_kier[[#This Row],[sem6.godziny]]&lt;&gt;"",IF(Tabela_kier[[#This Row],[sem6.godziny]]&gt;14,Tabela_kier[[#This Row],[sem6.godziny]]*0.6,Tabela_kier[[#This Row],[sem6.godziny]]),"")</f>
        <v>18</v>
      </c>
      <c r="Z73" s="217">
        <v>3</v>
      </c>
      <c r="AA73" s="217" t="str">
        <f>IF(Tabela_kier[[#This Row],[sem6.forma]]&lt;&gt;"",Tabela_kier[[#This Row],[sem6.forma]],"")</f>
        <v>z</v>
      </c>
      <c r="AB73" s="218" t="str">
        <f>IF(Tabela_kier[[#This Row],[sem7.godziny]]&lt;&gt;"",IF(Tabela_kier[[#This Row],[sem7.godziny]]&gt;14,Tabela_kier[[#This Row],[sem7.godziny]]*0.6,Tabela_kier[[#This Row],[sem7.godziny]]),"")</f>
        <v/>
      </c>
      <c r="AC73" s="218" t="str" cm="1">
        <f t="array" ref="AC73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3" s="218" t="str">
        <f>IF(Tabela_kier[[#This Row],[sem7.forma]]&lt;&gt;"",Tabela_kier[[#This Row],[sem7.forma]],"")</f>
        <v/>
      </c>
      <c r="AE73" s="219" t="str">
        <f>IF(Tabela_kier[[#This Row],[sem8.godziny]]&lt;&gt;"",IF(Tabela_kier[[#This Row],[sem8.godziny]]&gt;14,Tabela_kier[[#This Row],[sem8.godziny]]*0.6,Tabela_kier[[#This Row],[sem8.godziny]]),"")</f>
        <v/>
      </c>
      <c r="AF73" s="219" t="str" cm="1">
        <f t="array" ref="AF73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3" s="219" t="str">
        <f>IF(Tabela_kier[[#This Row],[sem8.forma]]&lt;&gt;"",Tabela_kier[[#This Row],[sem8.forma]],"")</f>
        <v/>
      </c>
      <c r="AH73" s="220" t="str">
        <f>IF(Tabela_kier[[#This Row],[sem9.godziny]]&lt;&gt;"",IF(Tabela_kier[[#This Row],[sem9.godziny]]&gt;14,Tabela_kier[[#This Row],[sem9.godziny]]*0.6,Tabela_kier[[#This Row],[sem9.godziny]]),"")</f>
        <v/>
      </c>
      <c r="AI73" s="220" t="str" cm="1">
        <f t="array" ref="AI73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3" s="220" t="str">
        <f>IF(Tabela_kier[[#This Row],[sem9.forma]]&lt;&gt;"",Tabela_kier[[#This Row],[sem9.forma]],"")</f>
        <v/>
      </c>
      <c r="AK73" s="221" t="str">
        <f>IF(Tabela_kier[[#This Row],[sem10.godziny]]&lt;&gt;"",IF(Tabela_kier[[#This Row],[sem10.godziny]]&gt;14,Tabela_kier[[#This Row],[sem10.godziny]]*0.6,Tabela_kier[[#This Row],[sem10.godziny]]),"")</f>
        <v/>
      </c>
      <c r="AL73" s="221" t="str" cm="1">
        <f t="array" ref="AL73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3" s="221" t="str">
        <f>IF(Tabela_kier[[#This Row],[sem10.forma]]&lt;&gt;"",Tabela_kier[[#This Row],[sem10.forma]],"")</f>
        <v/>
      </c>
      <c r="AN73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3</v>
      </c>
      <c r="AO73" s="223">
        <f>IF(ISERR(SEARCH("UP",Tabela_kier_nst[[#This Row],[Umiej.prakt.]],1)),0,Tabela_kier_nst[[#This Row],[ects.razem]])</f>
        <v>0</v>
      </c>
      <c r="AP73" s="224">
        <f>IF(Tabela_kier_nst[[#This Row],[czy.ects]]="TAK",ROUND((SUM(Tabela_kier_nst[[#This Row],[godziny.konsultacja]],Tabela_kier_nst[[#This Row],[godziny.egzamin]],Tabela_kier_nst[[#This Row],[godziny.zajec.razem]])/25)/0.5,0)*0.5,0)</f>
        <v>1</v>
      </c>
      <c r="AQ73" s="225">
        <f>SUM(Tabela_kier_nst[[#This Row],[godziny.samoksztalcenie]],Tabela_kier_nst[[#This Row],[godziny.konsultacja]],Tabela_kier_nst[[#This Row],[godziny.egzamin]],Tabela_kier_nst[[#This Row],[godziny.zajec.razem]])</f>
        <v>52</v>
      </c>
      <c r="AR73" s="226">
        <f>Tabela_kier[[#This Row],[godziny.samoksztalcenie]]+(Tabela_kier[[#This Row],[godziny.zajec.razem]]-Tabela_kier_nst[[#This Row],[godziny.zajec.razem]])</f>
        <v>29</v>
      </c>
      <c r="AS73" s="227">
        <f>Tabela_kier[[#This Row],[godziny.konsultacja]]</f>
        <v>3</v>
      </c>
      <c r="AT73" s="228">
        <f>Tabela_kier[[#This Row],[godziny.egzamin]]</f>
        <v>2</v>
      </c>
      <c r="AU73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18</v>
      </c>
      <c r="AV73" s="326">
        <f>IF(Tabela_kier_nst[[#This Row],[ects.bezposr.nauczyciel]],Tabela_kier_nst[[#This Row],[ects.bezposr.nauczyciel]]/Tabela_kier_nst[[#This Row],[ects.razem]],0)</f>
        <v>0.33333333333333331</v>
      </c>
      <c r="AW73" s="49"/>
    </row>
    <row r="74" spans="1:49" ht="25.5" customHeight="1" x14ac:dyDescent="0.3">
      <c r="A74" s="207"/>
      <c r="B74" s="331" t="str">
        <f>IF(Tabela_kier[[#This Row],[kod.isced]]&lt;&gt;"",Tabela_kier[[#This Row],[kod.isced]],"")</f>
        <v>0411</v>
      </c>
      <c r="C74" s="332">
        <f>IF(Tabela_kier[[#This Row],[kod.dziedziny]]&lt;&gt;"",Tabela_kier[[#This Row],[kod.dziedziny]],"")</f>
        <v>501</v>
      </c>
      <c r="D74" s="193" t="str">
        <f>IF(Tabela_kier[[#This Row],[Modul]]&lt;&gt;"",Tabela_kier[[#This Row],[Modul]],"")</f>
        <v>kr.18.1</v>
      </c>
      <c r="E74" s="193" t="str">
        <f>IF(Tabela_kier[[#This Row],[Umiej.prakt.]]&lt;&gt;"",Tabela_kier[[#This Row],[Umiej.prakt.]],"")</f>
        <v>up</v>
      </c>
      <c r="F74" s="327" t="str">
        <f>IF(Tabela_kier[[#This Row],[Nazwa przedmiotu]]&lt;&gt;"",Tabela_kier[[#This Row],[Nazwa przedmiotu]],"")</f>
        <v>Proseminarium</v>
      </c>
      <c r="G74" s="309" t="str">
        <f>IF(Tabela_kier[[#This Row],[Prowadzacy]]&lt;&gt;"",Tabela_kier[[#This Row],[Prowadzacy]],"")</f>
        <v/>
      </c>
      <c r="H74" s="155" t="str">
        <f>IF(Tabela_kier[[#This Row],[Forma]]&lt;&gt;"",Tabela_kier[[#This Row],[Forma]],"")</f>
        <v>konwersatorium</v>
      </c>
      <c r="I74" s="156" t="str">
        <f>IF(Tabela_kier[[#This Row],[czy.ects]]&lt;&gt;"",Tabela_kier[[#This Row],[czy.ects]],"")</f>
        <v>TAK</v>
      </c>
      <c r="J74" s="356" t="str">
        <f>IF(Tabela_kier[[#This Row],[sem1.godziny]]&lt;&gt;"",IF(Tabela_kier[[#This Row],[sem1.godziny]]&gt;14,Tabela_kier[[#This Row],[sem1.godziny]]*0.6,Tabela_kier[[#This Row],[sem1.godziny]]),"")</f>
        <v/>
      </c>
      <c r="K74" s="356" t="str" cm="1">
        <f t="array" ref="K74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74" s="356" t="str">
        <f>IF(Tabela_kier[[#This Row],[sem1.forma]]&lt;&gt;"",Tabela_kier[[#This Row],[sem1.forma]],"")</f>
        <v/>
      </c>
      <c r="M74" s="357" t="str">
        <f>IF(Tabela_kier[[#This Row],[sem2.godziny]]&lt;&gt;"",IF(Tabela_kier[[#This Row],[sem2.godziny]]&gt;14,Tabela_kier[[#This Row],[sem2.godziny]]*0.6,Tabela_kier[[#This Row],[sem2.godziny]]),"")</f>
        <v/>
      </c>
      <c r="N74" s="357" t="str" cm="1">
        <f t="array" ref="N74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74" s="357" t="str">
        <f>IF(Tabela_kier[[#This Row],[sem2.forma]]&lt;&gt;"",Tabela_kier[[#This Row],[sem2.forma]],"")</f>
        <v/>
      </c>
      <c r="P74" s="358" t="str">
        <f>IF(Tabela_kier[[#This Row],[sem3.godziny]]&lt;&gt;"",IF(Tabela_kier[[#This Row],[sem3.godziny]]&gt;14,Tabela_kier[[#This Row],[sem3.godziny]]*0.6,Tabela_kier[[#This Row],[sem3.godziny]]),"")</f>
        <v/>
      </c>
      <c r="Q74" s="359" t="str" cm="1">
        <f t="array" ref="Q74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74" s="358" t="str">
        <f>IF(Tabela_kier[[#This Row],[sem3.forma]]&lt;&gt;"",Tabela_kier[[#This Row],[sem3.forma]],"")</f>
        <v/>
      </c>
      <c r="S74" s="355">
        <f>IF(Tabela_kier[[#This Row],[sem4.godziny]]&lt;&gt;"",IF(Tabela_kier[[#This Row],[sem4.godziny]]&gt;14,Tabela_kier[[#This Row],[sem4.godziny]]*0.6,Tabela_kier[[#This Row],[sem4.godziny]]),"")</f>
        <v>9</v>
      </c>
      <c r="T74" s="355" cm="1">
        <f t="array" ref="T74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>1</v>
      </c>
      <c r="U74" s="355" t="str">
        <f>IF(Tabela_kier[[#This Row],[sem4.forma]]&lt;&gt;"",Tabela_kier[[#This Row],[sem4.forma]],"")</f>
        <v>z</v>
      </c>
      <c r="V74" s="216" t="str">
        <f>IF(Tabela_kier[[#This Row],[sem5.godziny]]&lt;&gt;"",IF(Tabela_kier[[#This Row],[sem5.godziny]]&gt;14,Tabela_kier[[#This Row],[sem5.godziny]]*0.6,Tabela_kier[[#This Row],[sem5.godziny]]),"")</f>
        <v/>
      </c>
      <c r="W74" s="216" t="str" cm="1">
        <f t="array" ref="W74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4" s="216" t="str">
        <f>IF(Tabela_kier[[#This Row],[sem5.forma]]&lt;&gt;"",Tabela_kier[[#This Row],[sem5.forma]],"")</f>
        <v/>
      </c>
      <c r="Y74" s="217" t="str">
        <f>IF(Tabela_kier[[#This Row],[sem6.godziny]]&lt;&gt;"",IF(Tabela_kier[[#This Row],[sem6.godziny]]&gt;14,Tabela_kier[[#This Row],[sem6.godziny]]*0.6,Tabela_kier[[#This Row],[sem6.godziny]]),"")</f>
        <v/>
      </c>
      <c r="Z74" s="217" t="str" cm="1">
        <f t="array" ref="Z74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74" s="217" t="str">
        <f>IF(Tabela_kier[[#This Row],[sem6.forma]]&lt;&gt;"",Tabela_kier[[#This Row],[sem6.forma]],"")</f>
        <v/>
      </c>
      <c r="AB74" s="218" t="str">
        <f>IF(Tabela_kier[[#This Row],[sem7.godziny]]&lt;&gt;"",IF(Tabela_kier[[#This Row],[sem7.godziny]]&gt;14,Tabela_kier[[#This Row],[sem7.godziny]]*0.6,Tabela_kier[[#This Row],[sem7.godziny]]),"")</f>
        <v/>
      </c>
      <c r="AC74" s="218" t="str" cm="1">
        <f t="array" ref="AC74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4" s="218" t="str">
        <f>IF(Tabela_kier[[#This Row],[sem7.forma]]&lt;&gt;"",Tabela_kier[[#This Row],[sem7.forma]],"")</f>
        <v/>
      </c>
      <c r="AE74" s="219" t="str">
        <f>IF(Tabela_kier[[#This Row],[sem8.godziny]]&lt;&gt;"",IF(Tabela_kier[[#This Row],[sem8.godziny]]&gt;14,Tabela_kier[[#This Row],[sem8.godziny]]*0.6,Tabela_kier[[#This Row],[sem8.godziny]]),"")</f>
        <v/>
      </c>
      <c r="AF74" s="219" t="str" cm="1">
        <f t="array" ref="AF74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4" s="219" t="str">
        <f>IF(Tabela_kier[[#This Row],[sem8.forma]]&lt;&gt;"",Tabela_kier[[#This Row],[sem8.forma]],"")</f>
        <v/>
      </c>
      <c r="AH74" s="220" t="str">
        <f>IF(Tabela_kier[[#This Row],[sem9.godziny]]&lt;&gt;"",IF(Tabela_kier[[#This Row],[sem9.godziny]]&gt;14,Tabela_kier[[#This Row],[sem9.godziny]]*0.6,Tabela_kier[[#This Row],[sem9.godziny]]),"")</f>
        <v/>
      </c>
      <c r="AI74" s="220" t="str" cm="1">
        <f t="array" ref="AI74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4" s="220" t="str">
        <f>IF(Tabela_kier[[#This Row],[sem9.forma]]&lt;&gt;"",Tabela_kier[[#This Row],[sem9.forma]],"")</f>
        <v/>
      </c>
      <c r="AK74" s="221" t="str">
        <f>IF(Tabela_kier[[#This Row],[sem10.godziny]]&lt;&gt;"",IF(Tabela_kier[[#This Row],[sem10.godziny]]&gt;14,Tabela_kier[[#This Row],[sem10.godziny]]*0.6,Tabela_kier[[#This Row],[sem10.godziny]]),"")</f>
        <v/>
      </c>
      <c r="AL74" s="221" t="str" cm="1">
        <f t="array" ref="AL74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4" s="221" t="str">
        <f>IF(Tabela_kier[[#This Row],[sem10.forma]]&lt;&gt;"",Tabela_kier[[#This Row],[sem10.forma]],"")</f>
        <v/>
      </c>
      <c r="AN74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</v>
      </c>
      <c r="AO74" s="223">
        <f>IF(ISERR(SEARCH("UP",Tabela_kier_nst[[#This Row],[Umiej.prakt.]],1)),0,Tabela_kier_nst[[#This Row],[ects.razem]])</f>
        <v>1</v>
      </c>
      <c r="AP74" s="224">
        <f>IF(Tabela_kier_nst[[#This Row],[czy.ects]]="TAK",ROUND((SUM(Tabela_kier_nst[[#This Row],[godziny.konsultacja]],Tabela_kier_nst[[#This Row],[godziny.egzamin]],Tabela_kier_nst[[#This Row],[godziny.zajec.razem]])/25)/0.5,0)*0.5,0)</f>
        <v>0.5</v>
      </c>
      <c r="AQ74" s="225">
        <f>SUM(Tabela_kier_nst[[#This Row],[godziny.samoksztalcenie]],Tabela_kier_nst[[#This Row],[godziny.konsultacja]],Tabela_kier_nst[[#This Row],[godziny.egzamin]],Tabela_kier_nst[[#This Row],[godziny.zajec.razem]])</f>
        <v>27</v>
      </c>
      <c r="AR74" s="226">
        <f>Tabela_kier[[#This Row],[godziny.samoksztalcenie]]+(Tabela_kier[[#This Row],[godziny.zajec.razem]]-Tabela_kier_nst[[#This Row],[godziny.zajec.razem]])</f>
        <v>15</v>
      </c>
      <c r="AS74" s="227">
        <f>Tabela_kier[[#This Row],[godziny.konsultacja]]</f>
        <v>1</v>
      </c>
      <c r="AT74" s="228">
        <f>Tabela_kier[[#This Row],[godziny.egzamin]]</f>
        <v>2</v>
      </c>
      <c r="AU74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9</v>
      </c>
      <c r="AV74" s="326">
        <f>IF(Tabela_kier_nst[[#This Row],[ects.bezposr.nauczyciel]],Tabela_kier_nst[[#This Row],[ects.bezposr.nauczyciel]]/Tabela_kier_nst[[#This Row],[ects.razem]],0)</f>
        <v>0.5</v>
      </c>
      <c r="AW74" s="49"/>
    </row>
    <row r="75" spans="1:49" ht="25.5" customHeight="1" x14ac:dyDescent="0.3">
      <c r="A75" s="207"/>
      <c r="B75" s="331" t="str">
        <f>IF(Tabela_kier[[#This Row],[kod.isced]]&lt;&gt;"",Tabela_kier[[#This Row],[kod.isced]],"")</f>
        <v>0411</v>
      </c>
      <c r="C75" s="332">
        <f>IF(Tabela_kier[[#This Row],[kod.dziedziny]]&lt;&gt;"",Tabela_kier[[#This Row],[kod.dziedziny]],"")</f>
        <v>501</v>
      </c>
      <c r="D75" s="193" t="str">
        <f>IF(Tabela_kier[[#This Row],[Modul]]&lt;&gt;"",Tabela_kier[[#This Row],[Modul]],"")</f>
        <v>kr.19.1</v>
      </c>
      <c r="E75" s="193" t="str">
        <f>IF(Tabela_kier[[#This Row],[Umiej.prakt.]]&lt;&gt;"",Tabela_kier[[#This Row],[Umiej.prakt.]],"")</f>
        <v/>
      </c>
      <c r="F75" s="327" t="str">
        <f>IF(Tabela_kier[[#This Row],[Nazwa przedmiotu]]&lt;&gt;"",Tabela_kier[[#This Row],[Nazwa przedmiotu]],"")</f>
        <v>Instruktaż do praktyk</v>
      </c>
      <c r="G75" s="309" t="str">
        <f>IF(Tabela_kier[[#This Row],[Prowadzacy]]&lt;&gt;"",Tabela_kier[[#This Row],[Prowadzacy]],"")</f>
        <v/>
      </c>
      <c r="H75" s="155" t="str">
        <f>IF(Tabela_kier[[#This Row],[Forma]]&lt;&gt;"",Tabela_kier[[#This Row],[Forma]],"")</f>
        <v>instruktaż</v>
      </c>
      <c r="I75" s="156" t="str">
        <f>IF(Tabela_kier[[#This Row],[czy.ects]]&lt;&gt;"",Tabela_kier[[#This Row],[czy.ects]],"")</f>
        <v>NIE</v>
      </c>
      <c r="J75" s="356" t="str">
        <f>IF(Tabela_kier[[#This Row],[sem1.godziny]]&lt;&gt;"",IF(Tabela_kier[[#This Row],[sem1.godziny]]&gt;14,Tabela_kier[[#This Row],[sem1.godziny]]*0.6,Tabela_kier[[#This Row],[sem1.godziny]]),"")</f>
        <v/>
      </c>
      <c r="K75" s="356" t="str" cm="1">
        <f t="array" ref="K75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75" s="356" t="str">
        <f>IF(Tabela_kier[[#This Row],[sem1.forma]]&lt;&gt;"",Tabela_kier[[#This Row],[sem1.forma]],"")</f>
        <v/>
      </c>
      <c r="M75" s="357">
        <v>15</v>
      </c>
      <c r="N75" s="357" t="str" cm="1">
        <f t="array" ref="N75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/>
      </c>
      <c r="O75" s="357" t="str">
        <f>IF(Tabela_kier[[#This Row],[sem2.forma]]&lt;&gt;"",Tabela_kier[[#This Row],[sem2.forma]],"")</f>
        <v>n</v>
      </c>
      <c r="P75" s="358">
        <v>15</v>
      </c>
      <c r="Q75" s="359" t="str" cm="1">
        <f t="array" ref="Q75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/>
      </c>
      <c r="R75" s="358" t="str">
        <f>IF(Tabela_kier[[#This Row],[sem3.forma]]&lt;&gt;"",Tabela_kier[[#This Row],[sem3.forma]],"")</f>
        <v>n</v>
      </c>
      <c r="S75" s="355" t="str">
        <f>IF(Tabela_kier[[#This Row],[sem4.godziny]]&lt;&gt;"",IF(Tabela_kier[[#This Row],[sem4.godziny]]&gt;14,Tabela_kier[[#This Row],[sem4.godziny]]*0.6,Tabela_kier[[#This Row],[sem4.godziny]]),"")</f>
        <v/>
      </c>
      <c r="T75" s="355" t="str" cm="1">
        <f t="array" ref="T75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75" s="355" t="str">
        <f>IF(Tabela_kier[[#This Row],[sem4.forma]]&lt;&gt;"",Tabela_kier[[#This Row],[sem4.forma]],"")</f>
        <v/>
      </c>
      <c r="V75" s="216" t="str">
        <f>IF(Tabela_kier[[#This Row],[sem5.godziny]]&lt;&gt;"",IF(Tabela_kier[[#This Row],[sem5.godziny]]&gt;14,Tabela_kier[[#This Row],[sem5.godziny]]*0.6,Tabela_kier[[#This Row],[sem5.godziny]]),"")</f>
        <v/>
      </c>
      <c r="W75" s="216" t="str" cm="1">
        <f t="array" ref="W75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5" s="216" t="str">
        <f>IF(Tabela_kier[[#This Row],[sem5.forma]]&lt;&gt;"",Tabela_kier[[#This Row],[sem5.forma]],"")</f>
        <v/>
      </c>
      <c r="Y75" s="217" t="str">
        <f>IF(Tabela_kier[[#This Row],[sem6.godziny]]&lt;&gt;"",IF(Tabela_kier[[#This Row],[sem6.godziny]]&gt;14,Tabela_kier[[#This Row],[sem6.godziny]]*0.6,Tabela_kier[[#This Row],[sem6.godziny]]),"")</f>
        <v/>
      </c>
      <c r="Z75" s="217" t="str" cm="1">
        <f t="array" ref="Z75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75" s="217" t="str">
        <f>IF(Tabela_kier[[#This Row],[sem6.forma]]&lt;&gt;"",Tabela_kier[[#This Row],[sem6.forma]],"")</f>
        <v/>
      </c>
      <c r="AB75" s="218" t="str">
        <f>IF(Tabela_kier[[#This Row],[sem7.godziny]]&lt;&gt;"",IF(Tabela_kier[[#This Row],[sem7.godziny]]&gt;14,Tabela_kier[[#This Row],[sem7.godziny]]*0.6,Tabela_kier[[#This Row],[sem7.godziny]]),"")</f>
        <v/>
      </c>
      <c r="AC75" s="218" t="str" cm="1">
        <f t="array" ref="AC75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5" s="218" t="str">
        <f>IF(Tabela_kier[[#This Row],[sem7.forma]]&lt;&gt;"",Tabela_kier[[#This Row],[sem7.forma]],"")</f>
        <v/>
      </c>
      <c r="AE75" s="219" t="str">
        <f>IF(Tabela_kier[[#This Row],[sem8.godziny]]&lt;&gt;"",IF(Tabela_kier[[#This Row],[sem8.godziny]]&gt;14,Tabela_kier[[#This Row],[sem8.godziny]]*0.6,Tabela_kier[[#This Row],[sem8.godziny]]),"")</f>
        <v/>
      </c>
      <c r="AF75" s="219" t="str" cm="1">
        <f t="array" ref="AF75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5" s="219" t="str">
        <f>IF(Tabela_kier[[#This Row],[sem8.forma]]&lt;&gt;"",Tabela_kier[[#This Row],[sem8.forma]],"")</f>
        <v/>
      </c>
      <c r="AH75" s="220" t="str">
        <f>IF(Tabela_kier[[#This Row],[sem9.godziny]]&lt;&gt;"",IF(Tabela_kier[[#This Row],[sem9.godziny]]&gt;14,Tabela_kier[[#This Row],[sem9.godziny]]*0.6,Tabela_kier[[#This Row],[sem9.godziny]]),"")</f>
        <v/>
      </c>
      <c r="AI75" s="220" t="str" cm="1">
        <f t="array" ref="AI75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5" s="220" t="str">
        <f>IF(Tabela_kier[[#This Row],[sem9.forma]]&lt;&gt;"",Tabela_kier[[#This Row],[sem9.forma]],"")</f>
        <v/>
      </c>
      <c r="AK75" s="221" t="str">
        <f>IF(Tabela_kier[[#This Row],[sem10.godziny]]&lt;&gt;"",IF(Tabela_kier[[#This Row],[sem10.godziny]]&gt;14,Tabela_kier[[#This Row],[sem10.godziny]]*0.6,Tabela_kier[[#This Row],[sem10.godziny]]),"")</f>
        <v/>
      </c>
      <c r="AL75" s="221" t="str" cm="1">
        <f t="array" ref="AL75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5" s="221" t="str">
        <f>IF(Tabela_kier[[#This Row],[sem10.forma]]&lt;&gt;"",Tabela_kier[[#This Row],[sem10.forma]],"")</f>
        <v/>
      </c>
      <c r="AN75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0</v>
      </c>
      <c r="AO75" s="223">
        <f>IF(ISERR(SEARCH("UP",Tabela_kier_nst[[#This Row],[Umiej.prakt.]],1)),0,Tabela_kier_nst[[#This Row],[ects.razem]])</f>
        <v>0</v>
      </c>
      <c r="AP75" s="224">
        <f>IF(Tabela_kier_nst[[#This Row],[czy.ects]]="TAK",ROUND((SUM(Tabela_kier_nst[[#This Row],[godziny.konsultacja]],Tabela_kier_nst[[#This Row],[godziny.egzamin]],Tabela_kier_nst[[#This Row],[godziny.zajec.razem]])/25)/0.5,0)*0.5,0)</f>
        <v>0</v>
      </c>
      <c r="AQ75" s="225">
        <f>SUM(Tabela_kier_nst[[#This Row],[godziny.samoksztalcenie]],Tabela_kier_nst[[#This Row],[godziny.konsultacja]],Tabela_kier_nst[[#This Row],[godziny.egzamin]],Tabela_kier_nst[[#This Row],[godziny.zajec.razem]])</f>
        <v>52</v>
      </c>
      <c r="AR75" s="226">
        <f>Tabela_kier[[#This Row],[godziny.samoksztalcenie]]+(Tabela_kier[[#This Row],[godziny.zajec.razem]]-Tabela_kier_nst[[#This Row],[godziny.zajec.razem]])</f>
        <v>17</v>
      </c>
      <c r="AS75" s="227">
        <f>Tabela_kier[[#This Row],[godziny.konsultacja]]</f>
        <v>3</v>
      </c>
      <c r="AT75" s="228">
        <f>Tabela_kier[[#This Row],[godziny.egzamin]]</f>
        <v>2</v>
      </c>
      <c r="AU75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30</v>
      </c>
      <c r="AV75" s="326">
        <f>IF(Tabela_kier_nst[[#This Row],[ects.bezposr.nauczyciel]],Tabela_kier_nst[[#This Row],[ects.bezposr.nauczyciel]]/Tabela_kier_nst[[#This Row],[ects.razem]],0)</f>
        <v>0</v>
      </c>
      <c r="AW75" s="49"/>
    </row>
    <row r="76" spans="1:49" ht="25.5" customHeight="1" x14ac:dyDescent="0.3">
      <c r="A76" s="207"/>
      <c r="B76" s="331" t="str">
        <f>IF(Tabela_kier[[#This Row],[kod.isced]]&lt;&gt;"",Tabela_kier[[#This Row],[kod.isced]],"")</f>
        <v>0411</v>
      </c>
      <c r="C76" s="332">
        <f>IF(Tabela_kier[[#This Row],[kod.dziedziny]]&lt;&gt;"",Tabela_kier[[#This Row],[kod.dziedziny]],"")</f>
        <v>501</v>
      </c>
      <c r="D76" s="193" t="str">
        <f>IF(Tabela_kier[[#This Row],[Modul]]&lt;&gt;"",Tabela_kier[[#This Row],[Modul]],"")</f>
        <v>kr.19.2</v>
      </c>
      <c r="E76" s="193" t="str">
        <f>IF(Tabela_kier[[#This Row],[Umiej.prakt.]]&lt;&gt;"",Tabela_kier[[#This Row],[Umiej.prakt.]],"")</f>
        <v>up</v>
      </c>
      <c r="F76" s="327" t="str">
        <f>IF(Tabela_kier[[#This Row],[Nazwa przedmiotu]]&lt;&gt;"",Tabela_kier[[#This Row],[Nazwa przedmiotu]],"")</f>
        <v>Studenckie praktyki zawodowe</v>
      </c>
      <c r="G76" s="309" t="str">
        <f>IF(Tabela_kier[[#This Row],[Prowadzacy]]&lt;&gt;"",Tabela_kier[[#This Row],[Prowadzacy]],"")</f>
        <v/>
      </c>
      <c r="H76" s="155" t="str">
        <f>IF(Tabela_kier[[#This Row],[Forma]]&lt;&gt;"",Tabela_kier[[#This Row],[Forma]],"")</f>
        <v>praktyka</v>
      </c>
      <c r="I76" s="156" t="str">
        <f>IF(Tabela_kier[[#This Row],[czy.ects]]&lt;&gt;"",Tabela_kier[[#This Row],[czy.ects]],"")</f>
        <v>TAK</v>
      </c>
      <c r="J76" s="356" t="str">
        <f>IF(Tabela_kier[[#This Row],[sem1.godziny]]&lt;&gt;"",IF(Tabela_kier[[#This Row],[sem1.godziny]]&gt;14,Tabela_kier[[#This Row],[sem1.godziny]]*0.6,Tabela_kier[[#This Row],[sem1.godziny]]),"")</f>
        <v/>
      </c>
      <c r="K76" s="356" t="str" cm="1">
        <f t="array" ref="K76">IF(Tabela_kier_nst[[#This Row],[czy.ects]]="TAK",_xlfn.IFS(AND(Tabela_kier_nst[[#This Row],[sem1.godziny]]&gt;=$Q$200,Tabela_kier_nst[[#This Row],[sem1.forma]]="z"),8,AND(Tabela_kier_nst[[#This Row],[sem1.godziny]]&gt;=$I$200,Tabela_kier_nst[[#This Row],[sem1.forma]]="z"),4,AND(Tabela_kier_nst[[#This Row],[sem1.godziny]]&gt;=$H$200,Tabela_kier_nst[[#This Row],[sem1.forma]]="e"),2,AND(Tabela_kier_nst[[#This Row],[sem1.godziny]]&lt;$H$200,Tabela_kier_nst[[#This Row],[sem1.forma]]="e"),1,AND(Tabela_kier_nst[[#This Row],[sem1.godziny]]&gt;=$H$200,Tabela_kier_nst[[#This Row],[sem1.forma]]="z"),2,AND(Tabela_kier_nst[[#This Row],[sem1.godziny]]&lt;$H$200,Tabela_kier_nst[[#This Row],[sem1.forma]]="z"),1,TRUE,""),"")</f>
        <v/>
      </c>
      <c r="L76" s="356" t="str">
        <f>IF(Tabela_kier[[#This Row],[sem1.forma]]&lt;&gt;"",Tabela_kier[[#This Row],[sem1.forma]],"")</f>
        <v/>
      </c>
      <c r="M76" s="357">
        <v>200</v>
      </c>
      <c r="N76" s="357" cm="1">
        <f t="array" ref="N76">IF(Tabela_kier_nst[[#This Row],[czy.ects]]="TAK",_xlfn.IFS(AND(Tabela_kier_nst[[#This Row],[sem2.godziny]]&gt;=$Q$200,Tabela_kier_nst[[#This Row],[sem2.forma]]="z"),8,AND(Tabela_kier_nst[[#This Row],[sem2.godziny]]&gt;=$I$200,Tabela_kier_nst[[#This Row],[sem2.forma]]="z"),4,AND(Tabela_kier_nst[[#This Row],[sem2.godziny]]&gt;=$H$200,Tabela_kier_nst[[#This Row],[sem2.forma]]="e"),2,AND(Tabela_kier_nst[[#This Row],[sem2.godziny]]&lt;$H$200,Tabela_kier_nst[[#This Row],[sem2.forma]]="e"),1,AND(Tabela_kier_nst[[#This Row],[sem2.godziny]]&gt;=$H$200,Tabela_kier_nst[[#This Row],[sem2.forma]]="z"),2,AND(Tabela_kier_nst[[#This Row],[sem2.godziny]]&lt;$H$200,Tabela_kier_nst[[#This Row],[sem2.forma]]="z"),1,TRUE,""),"")</f>
        <v>8</v>
      </c>
      <c r="O76" s="357" t="str">
        <f>IF(Tabela_kier[[#This Row],[sem2.forma]]&lt;&gt;"",Tabela_kier[[#This Row],[sem2.forma]],"")</f>
        <v>z</v>
      </c>
      <c r="P76" s="358">
        <v>200</v>
      </c>
      <c r="Q76" s="359" cm="1">
        <f t="array" ref="Q76">IF(Tabela_kier_nst[[#This Row],[czy.ects]]="TAK",_xlfn.IFS(AND(Tabela_kier_nst[[#This Row],[sem3.godziny]]&gt;=$Q$200,Tabela_kier_nst[[#This Row],[sem3.forma]]="z"),8,AND(Tabela_kier_nst[[#This Row],[sem3.godziny]]&gt;=$I$200,Tabela_kier_nst[[#This Row],[sem3.forma]]="z"),4,AND(Tabela_kier_nst[[#This Row],[sem3.godziny]]&gt;=$H$200,Tabela_kier_nst[[#This Row],[sem3.forma]]="e"),2,AND(Tabela_kier_nst[[#This Row],[sem3.godziny]]&lt;$H$200,Tabela_kier_nst[[#This Row],[sem3.forma]]="e"),1,AND(Tabela_kier_nst[[#This Row],[sem3.godziny]]&gt;=$H$200,Tabela_kier_nst[[#This Row],[sem3.forma]]="z"),2,AND(Tabela_kier_nst[[#This Row],[sem3.godziny]]&lt;$H$200,Tabela_kier_nst[[#This Row],[sem3.forma]]="z"),1,TRUE,""),"")</f>
        <v>8</v>
      </c>
      <c r="R76" s="358" t="str">
        <f>IF(Tabela_kier[[#This Row],[sem3.forma]]&lt;&gt;"",Tabela_kier[[#This Row],[sem3.forma]],"")</f>
        <v>z</v>
      </c>
      <c r="S76" s="355" t="str">
        <f>IF(Tabela_kier[[#This Row],[sem4.godziny]]&lt;&gt;"",IF(Tabela_kier[[#This Row],[sem4.godziny]]&gt;14,Tabela_kier[[#This Row],[sem4.godziny]]*0.6,Tabela_kier[[#This Row],[sem4.godziny]]),"")</f>
        <v/>
      </c>
      <c r="T76" s="355" t="str" cm="1">
        <f t="array" ref="T76">IF(Tabela_kier_nst[[#This Row],[czy.ects]]="TAK",_xlfn.IFS(AND(Tabela_kier_nst[[#This Row],[sem4.godziny]]&gt;=$Q$200,Tabela_kier_nst[[#This Row],[sem4.forma]]="z"),8,AND(Tabela_kier_nst[[#This Row],[sem4.godziny]]&gt;=$I$200,Tabela_kier_nst[[#This Row],[sem4.forma]]="z"),4,AND(Tabela_kier_nst[[#This Row],[sem4.godziny]]&gt;=$H$200,Tabela_kier_nst[[#This Row],[sem4.forma]]="e"),2,AND(Tabela_kier_nst[[#This Row],[sem4.godziny]]&lt;$H$200,Tabela_kier_nst[[#This Row],[sem4.forma]]="e"),1,AND(Tabela_kier_nst[[#This Row],[sem4.godziny]]&gt;=$H$200,Tabela_kier_nst[[#This Row],[sem4.forma]]="z"),2,AND(Tabela_kier_nst[[#This Row],[sem4.godziny]]&lt;$H$200,Tabela_kier_nst[[#This Row],[sem4.forma]]="z"),1,TRUE,""),"")</f>
        <v/>
      </c>
      <c r="U76" s="355" t="str">
        <f>IF(Tabela_kier[[#This Row],[sem4.forma]]&lt;&gt;"",Tabela_kier[[#This Row],[sem4.forma]],"")</f>
        <v/>
      </c>
      <c r="V76" s="216" t="str">
        <f>IF(Tabela_kier[[#This Row],[sem5.godziny]]&lt;&gt;"",IF(Tabela_kier[[#This Row],[sem5.godziny]]&gt;14,Tabela_kier[[#This Row],[sem5.godziny]]*0.6,Tabela_kier[[#This Row],[sem5.godziny]]),"")</f>
        <v/>
      </c>
      <c r="W76" s="216" t="str" cm="1">
        <f t="array" ref="W76">IF(Tabela_kier_nst[[#This Row],[czy.ects]]="TAK",_xlfn.IFS(AND(Tabela_kier_nst[[#This Row],[sem5.godziny]]&gt;=$Q$200,Tabela_kier_nst[[#This Row],[sem5.forma]]="z"),8,AND(Tabela_kier_nst[[#This Row],[sem5.godziny]]&gt;=$I$200,Tabela_kier_nst[[#This Row],[sem5.forma]]="z"),4,AND(Tabela_kier_nst[[#This Row],[sem5.godziny]]&gt;=$H$200,Tabela_kier_nst[[#This Row],[sem5.forma]]="e"),2,AND(Tabela_kier_nst[[#This Row],[sem5.godziny]]&lt;$H$200,Tabela_kier_nst[[#This Row],[sem5.forma]]="e"),1,AND(Tabela_kier_nst[[#This Row],[sem5.godziny]]&gt;=$H$200,Tabela_kier_nst[[#This Row],[sem5.forma]]="z"),2,AND(Tabela_kier_nst[[#This Row],[sem5.godziny]]&lt;$H$200,Tabela_kier_nst[[#This Row],[sem5.forma]]="z"),1,TRUE,""),"")</f>
        <v/>
      </c>
      <c r="X76" s="216" t="str">
        <f>IF(Tabela_kier[[#This Row],[sem5.forma]]&lt;&gt;"",Tabela_kier[[#This Row],[sem5.forma]],"")</f>
        <v/>
      </c>
      <c r="Y76" s="217" t="str">
        <f>IF(Tabela_kier[[#This Row],[sem6.godziny]]&lt;&gt;"",IF(Tabela_kier[[#This Row],[sem6.godziny]]&gt;14,Tabela_kier[[#This Row],[sem6.godziny]]*0.6,Tabela_kier[[#This Row],[sem6.godziny]]),"")</f>
        <v/>
      </c>
      <c r="Z76" s="217" t="str" cm="1">
        <f t="array" ref="Z76">IF(Tabela_kier_nst[[#This Row],[czy.ects]]="TAK",_xlfn.IFS(AND(Tabela_kier_nst[[#This Row],[sem6.godziny]]&gt;=$Q$200,Tabela_kier_nst[[#This Row],[sem6.forma]]="z"),8,AND(Tabela_kier_nst[[#This Row],[sem6.godziny]]&gt;=$I$200,Tabela_kier_nst[[#This Row],[sem6.forma]]="z"),4,AND(Tabela_kier_nst[[#This Row],[sem6.godziny]]&gt;=$H$200,Tabela_kier_nst[[#This Row],[sem6.forma]]="e"),2,AND(Tabela_kier_nst[[#This Row],[sem6.godziny]]&lt;$H$200,Tabela_kier_nst[[#This Row],[sem6.forma]]="e"),1,AND(Tabela_kier_nst[[#This Row],[sem6.godziny]]&gt;=$H$200,Tabela_kier_nst[[#This Row],[sem6.forma]]="z"),2,AND(Tabela_kier_nst[[#This Row],[sem6.godziny]]&lt;$H$200,Tabela_kier_nst[[#This Row],[sem6.forma]]="z"),1,TRUE,""),"")</f>
        <v/>
      </c>
      <c r="AA76" s="217" t="str">
        <f>IF(Tabela_kier[[#This Row],[sem6.forma]]&lt;&gt;"",Tabela_kier[[#This Row],[sem6.forma]],"")</f>
        <v/>
      </c>
      <c r="AB76" s="218" t="str">
        <f>IF(Tabela_kier[[#This Row],[sem7.godziny]]&lt;&gt;"",IF(Tabela_kier[[#This Row],[sem7.godziny]]&gt;14,Tabela_kier[[#This Row],[sem7.godziny]]*0.6,Tabela_kier[[#This Row],[sem7.godziny]]),"")</f>
        <v/>
      </c>
      <c r="AC76" s="218" t="str" cm="1">
        <f t="array" ref="AC76">IF(Tabela_kier_nst[[#This Row],[czy.ects]]="TAK",_xlfn.IFS(AND(Tabela_kier_nst[[#This Row],[sem7.godziny]]&gt;=$Q$200,Tabela_kier_nst[[#This Row],[sem7.forma]]="z"),8,AND(Tabela_kier_nst[[#This Row],[sem7.godziny]]&gt;=$I$200,Tabela_kier_nst[[#This Row],[sem7.forma]]="z"),4,AND(Tabela_kier_nst[[#This Row],[sem7.godziny]]&gt;=$H$200,Tabela_kier_nst[[#This Row],[sem7.forma]]="e"),2,AND(Tabela_kier_nst[[#This Row],[sem7.godziny]]&lt;$H$200,Tabela_kier_nst[[#This Row],[sem7.forma]]="e"),1,AND(Tabela_kier_nst[[#This Row],[sem7.godziny]]&gt;=$H$200,Tabela_kier_nst[[#This Row],[sem7.forma]]="z"),2,AND(Tabela_kier_nst[[#This Row],[sem7.godziny]]&lt;$H$200,Tabela_kier_nst[[#This Row],[sem7.forma]]="z"),1,TRUE,""),"")</f>
        <v/>
      </c>
      <c r="AD76" s="218" t="str">
        <f>IF(Tabela_kier[[#This Row],[sem7.forma]]&lt;&gt;"",Tabela_kier[[#This Row],[sem7.forma]],"")</f>
        <v/>
      </c>
      <c r="AE76" s="219" t="str">
        <f>IF(Tabela_kier[[#This Row],[sem8.godziny]]&lt;&gt;"",IF(Tabela_kier[[#This Row],[sem8.godziny]]&gt;14,Tabela_kier[[#This Row],[sem8.godziny]]*0.6,Tabela_kier[[#This Row],[sem8.godziny]]),"")</f>
        <v/>
      </c>
      <c r="AF76" s="219" t="str" cm="1">
        <f t="array" ref="AF76">IF(Tabela_kier_nst[[#This Row],[czy.ects]]="TAK",_xlfn.IFS(AND(Tabela_kier_nst[[#This Row],[sem8.godziny]]&gt;=$Q$200,Tabela_kier_nst[[#This Row],[sem8.forma]]="z"),8,AND(Tabela_kier_nst[[#This Row],[sem8.godziny]]&gt;=$I$200,Tabela_kier_nst[[#This Row],[sem8.forma]]="z"),4,AND(Tabela_kier_nst[[#This Row],[sem8.godziny]]&gt;=$H$200,Tabela_kier_nst[[#This Row],[sem8.forma]]="e"),2,AND(Tabela_kier_nst[[#This Row],[sem8.godziny]]&lt;$H$200,Tabela_kier_nst[[#This Row],[sem8.forma]]="e"),1,AND(Tabela_kier_nst[[#This Row],[sem8.godziny]]&gt;=$H$200,Tabela_kier_nst[[#This Row],[sem8.forma]]="z"),2,AND(Tabela_kier_nst[[#This Row],[sem8.godziny]]&lt;$H$200,Tabela_kier_nst[[#This Row],[sem8.forma]]="z"),1,TRUE,""),"")</f>
        <v/>
      </c>
      <c r="AG76" s="219" t="str">
        <f>IF(Tabela_kier[[#This Row],[sem8.forma]]&lt;&gt;"",Tabela_kier[[#This Row],[sem8.forma]],"")</f>
        <v/>
      </c>
      <c r="AH76" s="220" t="str">
        <f>IF(Tabela_kier[[#This Row],[sem9.godziny]]&lt;&gt;"",IF(Tabela_kier[[#This Row],[sem9.godziny]]&gt;14,Tabela_kier[[#This Row],[sem9.godziny]]*0.6,Tabela_kier[[#This Row],[sem9.godziny]]),"")</f>
        <v/>
      </c>
      <c r="AI76" s="220" t="str" cm="1">
        <f t="array" ref="AI76">IF(Tabela_kier_nst[[#This Row],[czy.ects]]="TAK",_xlfn.IFS(AND(Tabela_kier_nst[[#This Row],[sem9.godziny]]&gt;=$Q$200,Tabela_kier_nst[[#This Row],[sem9.forma]]="z"),8,AND(Tabela_kier_nst[[#This Row],[sem9.godziny]]&gt;=$I$200,Tabela_kier_nst[[#This Row],[sem9.forma]]="z"),4,AND(Tabela_kier_nst[[#This Row],[sem9.godziny]]&gt;=$H$200,Tabela_kier_nst[[#This Row],[sem9.forma]]="e"),2,AND(Tabela_kier_nst[[#This Row],[sem9.godziny]]&lt;$H$200,Tabela_kier_nst[[#This Row],[sem9.forma]]="e"),1,AND(Tabela_kier_nst[[#This Row],[sem9.godziny]]&gt;=$H$200,Tabela_kier_nst[[#This Row],[sem9.forma]]="z"),2,AND(Tabela_kier_nst[[#This Row],[sem9.godziny]]&lt;$H$200,Tabela_kier_nst[[#This Row],[sem9.forma]]="z"),1,TRUE,""),"")</f>
        <v/>
      </c>
      <c r="AJ76" s="220" t="str">
        <f>IF(Tabela_kier[[#This Row],[sem9.forma]]&lt;&gt;"",Tabela_kier[[#This Row],[sem9.forma]],"")</f>
        <v/>
      </c>
      <c r="AK76" s="221" t="str">
        <f>IF(Tabela_kier[[#This Row],[sem10.godziny]]&lt;&gt;"",IF(Tabela_kier[[#This Row],[sem10.godziny]]&gt;14,Tabela_kier[[#This Row],[sem10.godziny]]*0.6,Tabela_kier[[#This Row],[sem10.godziny]]),"")</f>
        <v/>
      </c>
      <c r="AL76" s="221" t="str" cm="1">
        <f t="array" ref="AL76">IF(Tabela_kier_nst[[#This Row],[czy.ects]]="TAK",_xlfn.IFS(AND(Tabela_kier_nst[[#This Row],[sem10.godziny]]&gt;=$Q$200,Tabela_kier_nst[[#This Row],[sem10.forma]]="z"),8,AND(Tabela_kier_nst[[#This Row],[sem10.godziny]]&gt;=$I$200,Tabela_kier_nst[[#This Row],[sem10.forma]]="z"),4,AND(Tabela_kier_nst[[#This Row],[sem10.godziny]]&gt;=$H$200,Tabela_kier_nst[[#This Row],[sem10.forma]]="e"),2,AND(Tabela_kier_nst[[#This Row],[sem10.godziny]]&lt;$H$200,Tabela_kier_nst[[#This Row],[sem10.forma]]="e"),1,AND(Tabela_kier_nst[[#This Row],[sem10.godziny]]&gt;=$H$200,Tabela_kier_nst[[#This Row],[sem10.forma]]="z"),2,AND(Tabela_kier_nst[[#This Row],[sem10.godziny]]&lt;$H$200,Tabela_kier_nst[[#This Row],[sem10.forma]]="z"),1,TRUE,""),"")</f>
        <v/>
      </c>
      <c r="AM76" s="221" t="str">
        <f>IF(Tabela_kier[[#This Row],[sem10.forma]]&lt;&gt;"",Tabela_kier[[#This Row],[sem10.forma]],"")</f>
        <v/>
      </c>
      <c r="AN76" s="222">
        <f>SUM(Tabela_kier_nst[[#This Row],[sem1.ects]],Tabela_kier_nst[[#This Row],[sem2.ects]],Tabela_kier_nst[[#This Row],[sem3.ects]],Tabela_kier_nst[[#This Row],[sem4.ects]],Tabela_kier_nst[[#This Row],[sem5.ects]],Tabela_kier_nst[[#This Row],[sem6.ects]],Tabela_kier_nst[[#This Row],[sem7.ects]],Tabela_kier_nst[[#This Row],[sem8.ects]],Tabela_kier_nst[[#This Row],[sem9.ects]],Tabela_kier_nst[[#This Row],[sem10.ects]])</f>
        <v>16</v>
      </c>
      <c r="AO76" s="223">
        <f>IF(ISERR(SEARCH("UP",Tabela_kier_nst[[#This Row],[Umiej.prakt.]],1)),0,Tabela_kier_nst[[#This Row],[ects.razem]])</f>
        <v>16</v>
      </c>
      <c r="AP76" s="224">
        <f>IF(Tabela_kier_nst[[#This Row],[czy.ects]]="TAK",ROUND((SUM(Tabela_kier_nst[[#This Row],[godziny.konsultacja]],Tabela_kier_nst[[#This Row],[godziny.egzamin]],Tabela_kier_nst[[#This Row],[godziny.zajec.razem]])/25)/0.5,0)*0.5,0)</f>
        <v>18</v>
      </c>
      <c r="AQ76" s="225">
        <f>SUM(Tabela_kier_nst[[#This Row],[godziny.samoksztalcenie]],Tabela_kier_nst[[#This Row],[godziny.konsultacja]],Tabela_kier_nst[[#This Row],[godziny.egzamin]],Tabela_kier_nst[[#This Row],[godziny.zajec.razem]])</f>
        <v>666</v>
      </c>
      <c r="AR76" s="226">
        <f>Tabela_kier[[#This Row],[godziny.samoksztalcenie]]+(Tabela_kier[[#This Row],[godziny.zajec.razem]]-Tabela_kier_nst[[#This Row],[godziny.zajec.razem]])</f>
        <v>222</v>
      </c>
      <c r="AS76" s="227">
        <f>Tabela_kier[[#This Row],[godziny.konsultacja]]</f>
        <v>40</v>
      </c>
      <c r="AT76" s="228">
        <f>Tabela_kier[[#This Row],[godziny.egzamin]]</f>
        <v>4</v>
      </c>
      <c r="AU76" s="229">
        <f>SUM(Tabela_kier_nst[[#This Row],[sem1.godziny]],Tabela_kier_nst[[#This Row],[sem2.godziny]],Tabela_kier_nst[[#This Row],[sem3.godziny]],Tabela_kier_nst[[#This Row],[sem4.godziny]],Tabela_kier_nst[[#This Row],[sem5.godziny]],Tabela_kier_nst[[#This Row],[sem6.godziny]],Tabela_kier_nst[[#This Row],[sem7.godziny]],Tabela_kier_nst[[#This Row],[sem8.godziny]],Tabela_kier_nst[[#This Row],[sem9.godziny]],Tabela_kier_nst[[#This Row],[sem10.godziny]])</f>
        <v>400</v>
      </c>
      <c r="AV76" s="326">
        <f>IF(Tabela_kier_nst[[#This Row],[ects.bezposr.nauczyciel]],Tabela_kier_nst[[#This Row],[ects.bezposr.nauczyciel]]/Tabela_kier_nst[[#This Row],[ects.razem]],0)</f>
        <v>1.125</v>
      </c>
      <c r="AW76" s="49"/>
    </row>
    <row r="77" spans="1:49" s="102" customFormat="1" ht="7.5" customHeight="1" thickBot="1" x14ac:dyDescent="0.35">
      <c r="A77" s="258"/>
      <c r="B77" s="177"/>
      <c r="C77" s="248"/>
      <c r="D77" s="178"/>
      <c r="E77" s="178"/>
      <c r="F77" s="249"/>
      <c r="G77" s="250"/>
      <c r="H77" s="251"/>
      <c r="I77" s="178"/>
      <c r="J77" s="252"/>
      <c r="K77" s="252"/>
      <c r="L77" s="253"/>
      <c r="M77" s="254"/>
      <c r="N77" s="255"/>
      <c r="O77" s="255"/>
      <c r="P77" s="255"/>
      <c r="Q77" s="256"/>
      <c r="R77" s="255"/>
      <c r="S77" s="255"/>
      <c r="T77" s="255"/>
      <c r="U77" s="255"/>
      <c r="V77" s="255"/>
      <c r="W77" s="255"/>
      <c r="X77" s="255"/>
      <c r="Y77" s="255"/>
      <c r="Z77" s="255"/>
      <c r="AA77" s="255"/>
      <c r="AB77" s="255"/>
      <c r="AC77" s="255"/>
      <c r="AD77" s="255"/>
      <c r="AE77" s="253"/>
      <c r="AF77" s="253"/>
      <c r="AG77" s="253"/>
      <c r="AH77" s="255"/>
      <c r="AI77" s="253"/>
      <c r="AJ77" s="253"/>
      <c r="AK77" s="253"/>
      <c r="AL77" s="253"/>
      <c r="AM77" s="257"/>
      <c r="AN77" s="176"/>
      <c r="AO77" s="258"/>
      <c r="AP77" s="258"/>
      <c r="AQ77" s="258"/>
      <c r="AR77" s="258"/>
      <c r="AS77" s="258"/>
      <c r="AT77" s="258"/>
      <c r="AU77" s="258"/>
      <c r="AV77" s="258"/>
      <c r="AW77" s="258"/>
    </row>
    <row r="78" spans="1:49" s="102" customFormat="1" ht="16.5" hidden="1" customHeight="1" thickBot="1" x14ac:dyDescent="0.35">
      <c r="A78" s="258"/>
      <c r="B78" s="784" t="str">
        <f>'PLAN ST'!B78</f>
        <v>PRZEDMIOTY DO WYBORU</v>
      </c>
      <c r="C78" s="785"/>
      <c r="D78" s="785"/>
      <c r="E78" s="785"/>
      <c r="F78" s="785"/>
      <c r="G78" s="785"/>
      <c r="H78" s="194"/>
      <c r="I78" s="194"/>
      <c r="J78" s="194"/>
      <c r="K78" s="194"/>
      <c r="L78" s="194"/>
      <c r="M78" s="194"/>
      <c r="N78" s="194"/>
      <c r="O78" s="194"/>
      <c r="P78" s="194"/>
      <c r="Q78" s="194"/>
      <c r="R78" s="194"/>
      <c r="S78" s="194"/>
      <c r="T78" s="194"/>
      <c r="U78" s="194"/>
      <c r="V78" s="194"/>
      <c r="W78" s="194"/>
      <c r="X78" s="194"/>
      <c r="Y78" s="194"/>
      <c r="Z78" s="194"/>
      <c r="AA78" s="194"/>
      <c r="AB78" s="194"/>
      <c r="AC78" s="194"/>
      <c r="AD78" s="194"/>
      <c r="AE78" s="194"/>
      <c r="AF78" s="194"/>
      <c r="AG78" s="194"/>
      <c r="AH78" s="194"/>
      <c r="AI78" s="194"/>
      <c r="AJ78" s="194"/>
      <c r="AK78" s="194"/>
      <c r="AL78" s="194"/>
      <c r="AM78" s="194"/>
      <c r="AN78" s="194"/>
      <c r="AO78" s="194"/>
      <c r="AP78" s="194"/>
      <c r="AQ78" s="194"/>
      <c r="AR78" s="194"/>
      <c r="AS78" s="194"/>
      <c r="AT78" s="194"/>
      <c r="AU78" s="194"/>
      <c r="AV78" s="195"/>
      <c r="AW78" s="258"/>
    </row>
    <row r="79" spans="1:49" s="102" customFormat="1" ht="25.5" hidden="1" customHeight="1" thickBot="1" x14ac:dyDescent="0.35">
      <c r="A79" s="258"/>
      <c r="B79" s="790" t="str">
        <f>'PLAN ST'!B79</f>
        <v>RAZEM W GRUPIE PRZEDMIOTÓW DO WYBORU</v>
      </c>
      <c r="C79" s="791"/>
      <c r="D79" s="791"/>
      <c r="E79" s="791"/>
      <c r="F79" s="791"/>
      <c r="G79" s="791"/>
      <c r="H79" s="791"/>
      <c r="I79" s="791"/>
      <c r="J79" s="98">
        <f>SUM(Tabela_do_wyboru_nst[sem1.godziny])</f>
        <v>0</v>
      </c>
      <c r="K79" s="98">
        <f>SUM(Tabela_do_wyboru_nst[sem1.ects])</f>
        <v>0</v>
      </c>
      <c r="L79" s="98"/>
      <c r="M79" s="98">
        <f>SUM(Tabela_do_wyboru_nst[sem2.godziny])</f>
        <v>0</v>
      </c>
      <c r="N79" s="98">
        <f>SUM(Tabela_do_wyboru_nst[sem2.ects])</f>
        <v>0</v>
      </c>
      <c r="O79" s="98"/>
      <c r="P79" s="98">
        <f>SUM(Tabela_do_wyboru_nst[sem3.godziny])</f>
        <v>0</v>
      </c>
      <c r="Q79" s="98">
        <f>SUM(Tabela_do_wyboru_nst[sem3.ects])</f>
        <v>0</v>
      </c>
      <c r="R79" s="98"/>
      <c r="S79" s="98">
        <f>SUM(Tabela_do_wyboru_nst[sem4.godziny])</f>
        <v>0</v>
      </c>
      <c r="T79" s="98">
        <f>SUM(Tabela_do_wyboru_nst[sem4.ects])</f>
        <v>0</v>
      </c>
      <c r="U79" s="98"/>
      <c r="V79" s="98">
        <f>SUM(Tabela_do_wyboru_nst[sem5.godziny])</f>
        <v>0</v>
      </c>
      <c r="W79" s="98">
        <f>SUM(Tabela_do_wyboru_nst[sem5.ects])</f>
        <v>0</v>
      </c>
      <c r="X79" s="98"/>
      <c r="Y79" s="98">
        <f>SUM(Tabela_do_wyboru_nst[sem6.godziny])</f>
        <v>0</v>
      </c>
      <c r="Z79" s="98">
        <f>SUM(Tabela_do_wyboru_nst[sem6.ects])</f>
        <v>0</v>
      </c>
      <c r="AA79" s="98"/>
      <c r="AB79" s="98">
        <f>SUM(Tabela_do_wyboru_nst[sem7.godziny])</f>
        <v>0</v>
      </c>
      <c r="AC79" s="98">
        <f>SUM(Tabela_do_wyboru_nst[sem7.ects])</f>
        <v>0</v>
      </c>
      <c r="AD79" s="98"/>
      <c r="AE79" s="98">
        <f>SUM(Tabela_do_wyboru_nst[sem8.godziny])</f>
        <v>0</v>
      </c>
      <c r="AF79" s="98">
        <f>SUM(Tabela_do_wyboru_nst[sem8.ects])</f>
        <v>0</v>
      </c>
      <c r="AG79" s="98"/>
      <c r="AH79" s="98">
        <f>SUM(Tabela_do_wyboru_nst[sem9.godziny])</f>
        <v>0</v>
      </c>
      <c r="AI79" s="98">
        <f>SUM(Tabela_do_wyboru_nst[sem9.ects])</f>
        <v>0</v>
      </c>
      <c r="AJ79" s="98"/>
      <c r="AK79" s="98">
        <f>SUM(Tabela_do_wyboru_nst[sem10.godziny])</f>
        <v>0</v>
      </c>
      <c r="AL79" s="98">
        <f>SUM(Tabela_do_wyboru_nst[sem10.ects])</f>
        <v>0</v>
      </c>
      <c r="AM79" s="98"/>
      <c r="AN79" s="98">
        <f>SUM(Tabela_do_wyboru_nst[ects.razem])</f>
        <v>0</v>
      </c>
      <c r="AO79" s="98">
        <f>SUM(Tabela_do_wyboru_nst[ects.umiej.prakt.])</f>
        <v>0</v>
      </c>
      <c r="AP79" s="98">
        <f>SUM(Tabela_do_wyboru_nst[ects.bezposr.nauczyciel])</f>
        <v>0</v>
      </c>
      <c r="AQ79" s="98">
        <f>SUM(Tabela_do_wyboru_nst[godziny.razem.student])</f>
        <v>0</v>
      </c>
      <c r="AR79" s="98">
        <f>SUM(Tabela_do_wyboru_nst[godziny.samoksztalcenie])</f>
        <v>0</v>
      </c>
      <c r="AS79" s="98">
        <f>SUM(Tabela_do_wyboru_nst[godziny.konsultacja])</f>
        <v>0</v>
      </c>
      <c r="AT79" s="98">
        <f>SUM(Tabela_do_wyboru_nst[godziny.egzamin])</f>
        <v>0</v>
      </c>
      <c r="AU79" s="98">
        <f>SUM(Tabela_do_wyboru_nst[godziny.zajec.razem])</f>
        <v>0</v>
      </c>
      <c r="AV79" s="6"/>
      <c r="AW79" s="258"/>
    </row>
    <row r="80" spans="1:49" s="102" customFormat="1" ht="25.5" hidden="1" customHeight="1" x14ac:dyDescent="0.3">
      <c r="A80" s="258"/>
      <c r="B80" s="147" t="s">
        <v>374</v>
      </c>
      <c r="C80" s="148" t="s">
        <v>373</v>
      </c>
      <c r="D80" s="148" t="s">
        <v>372</v>
      </c>
      <c r="E80" s="148" t="s">
        <v>371</v>
      </c>
      <c r="F80" s="305" t="s">
        <v>368</v>
      </c>
      <c r="G80" s="306" t="s">
        <v>369</v>
      </c>
      <c r="H80" s="149" t="s">
        <v>370</v>
      </c>
      <c r="I80" s="150" t="s">
        <v>375</v>
      </c>
      <c r="J80" s="80" t="s">
        <v>376</v>
      </c>
      <c r="K80" s="80" t="s">
        <v>377</v>
      </c>
      <c r="L80" s="80" t="s">
        <v>378</v>
      </c>
      <c r="M80" s="81" t="s">
        <v>379</v>
      </c>
      <c r="N80" s="81" t="s">
        <v>380</v>
      </c>
      <c r="O80" s="81" t="s">
        <v>381</v>
      </c>
      <c r="P80" s="151" t="s">
        <v>382</v>
      </c>
      <c r="Q80" s="82" t="s">
        <v>383</v>
      </c>
      <c r="R80" s="151" t="s">
        <v>384</v>
      </c>
      <c r="S80" s="83" t="s">
        <v>385</v>
      </c>
      <c r="T80" s="83" t="s">
        <v>386</v>
      </c>
      <c r="U80" s="83" t="s">
        <v>387</v>
      </c>
      <c r="V80" s="84" t="s">
        <v>388</v>
      </c>
      <c r="W80" s="84" t="s">
        <v>389</v>
      </c>
      <c r="X80" s="84" t="s">
        <v>390</v>
      </c>
      <c r="Y80" s="85" t="s">
        <v>391</v>
      </c>
      <c r="Z80" s="85" t="s">
        <v>392</v>
      </c>
      <c r="AA80" s="85" t="s">
        <v>393</v>
      </c>
      <c r="AB80" s="86" t="s">
        <v>394</v>
      </c>
      <c r="AC80" s="86" t="s">
        <v>395</v>
      </c>
      <c r="AD80" s="86" t="s">
        <v>396</v>
      </c>
      <c r="AE80" s="99" t="s">
        <v>409</v>
      </c>
      <c r="AF80" s="99" t="s">
        <v>410</v>
      </c>
      <c r="AG80" s="99" t="s">
        <v>411</v>
      </c>
      <c r="AH80" s="100" t="s">
        <v>412</v>
      </c>
      <c r="AI80" s="100" t="s">
        <v>413</v>
      </c>
      <c r="AJ80" s="100" t="s">
        <v>414</v>
      </c>
      <c r="AK80" s="101" t="s">
        <v>415</v>
      </c>
      <c r="AL80" s="101" t="s">
        <v>416</v>
      </c>
      <c r="AM80" s="101" t="s">
        <v>417</v>
      </c>
      <c r="AN80" s="87" t="s">
        <v>397</v>
      </c>
      <c r="AO80" s="88" t="s">
        <v>398</v>
      </c>
      <c r="AP80" s="89" t="s">
        <v>399</v>
      </c>
      <c r="AQ80" s="211" t="s">
        <v>400</v>
      </c>
      <c r="AR80" s="90" t="s">
        <v>401</v>
      </c>
      <c r="AS80" s="91" t="s">
        <v>402</v>
      </c>
      <c r="AT80" s="80" t="s">
        <v>403</v>
      </c>
      <c r="AU80" s="92" t="s">
        <v>404</v>
      </c>
      <c r="AV80" s="212" t="s">
        <v>405</v>
      </c>
      <c r="AW80" s="258"/>
    </row>
    <row r="81" spans="1:49" s="102" customFormat="1" ht="17.25" hidden="1" x14ac:dyDescent="0.3">
      <c r="A81" s="258"/>
      <c r="B81" s="333" t="str">
        <f>IF(Tabela_do_wyboru[[#This Row],[kod.isced]]&lt;&gt;"",Tabela_do_wyboru[[#This Row],[kod.isced]],"")</f>
        <v/>
      </c>
      <c r="C81" s="193" t="str">
        <f>IF(Tabela_do_wyboru[[#This Row],[kod.dziedziny]]&lt;&gt;"",Tabela_do_wyboru[[#This Row],[kod.dziedziny]],"")</f>
        <v/>
      </c>
      <c r="D81" s="193" t="str">
        <f>IF(Tabela_do_wyboru[[#This Row],[Modul]]&lt;&gt;"",Tabela_do_wyboru[[#This Row],[Modul]],"")</f>
        <v/>
      </c>
      <c r="E81" s="193" t="str">
        <f>IF(Tabela_do_wyboru[[#This Row],[Umiej.prakt.]]&lt;&gt;"",Tabela_do_wyboru[[#This Row],[Umiej.prakt.]],"")</f>
        <v/>
      </c>
      <c r="F81" s="308" t="str">
        <f>IF(Tabela_do_wyboru[[#This Row],[Nazwa przedmiotu]]&lt;&gt;"",Tabela_do_wyboru[[#This Row],[Nazwa przedmiotu]],"")</f>
        <v/>
      </c>
      <c r="G81" s="309" t="str">
        <f>IF(Tabela_do_wyboru[[#This Row],[Prowadzacy]]&lt;&gt;"",Tabela_do_wyboru[[#This Row],[Prowadzacy]],"")</f>
        <v/>
      </c>
      <c r="H81" s="155" t="str">
        <f>IF(Tabela_do_wyboru[[#This Row],[Forma]]&lt;&gt;"",Tabela_do_wyboru[[#This Row],[Forma]],"")</f>
        <v/>
      </c>
      <c r="I81" s="156" t="str">
        <f>IF(Tabela_do_wyboru[[#This Row],[czy.ects]]&lt;&gt;"",Tabela_do_wyboru[[#This Row],[czy.ects]],"")</f>
        <v/>
      </c>
      <c r="J81" s="356" t="str">
        <f>IF(Tabela_do_wyboru[[#This Row],[sem1.godziny]]&lt;&gt;"",IF(Tabela_do_wyboru[[#This Row],[sem1.godziny]]&gt;14,Tabela_do_wyboru[[#This Row],[sem1.godziny]]*0.6,Tabela_do_wyboru[[#This Row],[sem1.godziny]]),"")</f>
        <v/>
      </c>
      <c r="K81" s="356" t="str" cm="1">
        <f t="array" ref="K81">IF(Tabela_do_wyboru_nst[[#This Row],[czy.ects]]="TAK",_xlfn.IFS(AND(Tabela_do_wyboru_nst[[#This Row],[sem1.godziny]]&gt;=$Q$195,Tabela_do_wyboru_nst[[#This Row],[sem1.forma]]="z"),8,AND(Tabela_do_wyboru_nst[[#This Row],[sem1.godziny]]&gt;=$I$195,Tabela_do_wyboru_nst[[#This Row],[sem1.forma]]="z"),4,AND(Tabela_do_wyboru_nst[[#This Row],[sem1.godziny]]&gt;=$H$195,Tabela_do_wyboru_nst[[#This Row],[sem1.forma]]="e"),2,AND(Tabela_do_wyboru_nst[[#This Row],[sem1.godziny]]&lt;$H$195,Tabela_do_wyboru_nst[[#This Row],[sem1.forma]]="e"),1,AND(Tabela_do_wyboru_nst[[#This Row],[sem1.godziny]]&gt;=$H$195,Tabela_do_wyboru_nst[[#This Row],[sem1.forma]]="z"),2,AND(Tabela_do_wyboru_nst[[#This Row],[sem1.godziny]]&lt;$H$195,Tabela_do_wyboru_nst[[#This Row],[sem1.forma]]="z"),1,TRUE,""),"")</f>
        <v/>
      </c>
      <c r="L81" s="356" t="str">
        <f>IF(Tabela_do_wyboru[[#This Row],[sem1.forma]]&lt;&gt;"",Tabela_do_wyboru[[#This Row],[sem1.forma]],"")</f>
        <v/>
      </c>
      <c r="M81" s="357" t="str">
        <f>IF(Tabela_do_wyboru[[#This Row],[sem2.godziny]]&lt;&gt;"",IF(Tabela_do_wyboru[[#This Row],[sem2.godziny]]&gt;14,Tabela_do_wyboru[[#This Row],[sem2.godziny]]*0.6,Tabela_do_wyboru[[#This Row],[sem2.godziny]]),"")</f>
        <v/>
      </c>
      <c r="N81" s="357" t="str" cm="1">
        <f t="array" ref="N81">IF(Tabela_do_wyboru_nst[[#This Row],[czy.ects]]="TAK",_xlfn.IFS(AND(Tabela_do_wyboru_nst[[#This Row],[sem2.godziny]]&gt;=$Q$195,Tabela_do_wyboru_nst[[#This Row],[sem2.forma]]="z"),8,AND(Tabela_do_wyboru_nst[[#This Row],[sem2.godziny]]&gt;=$I$195,Tabela_do_wyboru_nst[[#This Row],[sem2.forma]]="z"),4,AND(Tabela_do_wyboru_nst[[#This Row],[sem2.godziny]]&gt;=$H$195,Tabela_do_wyboru_nst[[#This Row],[sem2.forma]]="e"),2,AND(Tabela_do_wyboru_nst[[#This Row],[sem2.godziny]]&lt;$H$195,Tabela_do_wyboru_nst[[#This Row],[sem2.forma]]="e"),1,AND(Tabela_do_wyboru_nst[[#This Row],[sem2.godziny]]&gt;=$H$195,Tabela_do_wyboru_nst[[#This Row],[sem2.forma]]="z"),2,AND(Tabela_do_wyboru_nst[[#This Row],[sem2.godziny]]&lt;$H$195,Tabela_do_wyboru_nst[[#This Row],[sem2.forma]]="z"),1,TRUE,""),"")</f>
        <v/>
      </c>
      <c r="O81" s="357" t="str">
        <f>IF(Tabela_do_wyboru[[#This Row],[sem2.forma]]&lt;&gt;"",Tabela_do_wyboru[[#This Row],[sem2.forma]],"")</f>
        <v/>
      </c>
      <c r="P81" s="358" t="str">
        <f>IF(Tabela_do_wyboru[[#This Row],[sem3.godziny]]&lt;&gt;"",IF(Tabela_do_wyboru[[#This Row],[sem3.godziny]]&gt;14,Tabela_do_wyboru[[#This Row],[sem3.godziny]]*0.6,Tabela_do_wyboru[[#This Row],[sem3.godziny]]),"")</f>
        <v/>
      </c>
      <c r="Q81" s="359" t="str" cm="1">
        <f t="array" ref="Q81">IF(Tabela_do_wyboru_nst[[#This Row],[czy.ects]]="TAK",_xlfn.IFS(AND(Tabela_do_wyboru_nst[[#This Row],[sem3.godziny]]&gt;=$Q$195,Tabela_do_wyboru_nst[[#This Row],[sem3.forma]]="z"),8,AND(Tabela_do_wyboru_nst[[#This Row],[sem3.godziny]]&gt;=$I$195,Tabela_do_wyboru_nst[[#This Row],[sem3.forma]]="z"),4,AND(Tabela_do_wyboru_nst[[#This Row],[sem3.godziny]]&gt;=$H$195,Tabela_do_wyboru_nst[[#This Row],[sem3.forma]]="e"),2,AND(Tabela_do_wyboru_nst[[#This Row],[sem3.godziny]]&lt;$H$195,Tabela_do_wyboru_nst[[#This Row],[sem3.forma]]="e"),1,AND(Tabela_do_wyboru_nst[[#This Row],[sem3.godziny]]&gt;=$H$195,Tabela_do_wyboru_nst[[#This Row],[sem3.forma]]="z"),2,AND(Tabela_do_wyboru_nst[[#This Row],[sem3.godziny]]&lt;$H$195,Tabela_do_wyboru_nst[[#This Row],[sem3.forma]]="z"),1,TRUE,""),"")</f>
        <v/>
      </c>
      <c r="R81" s="358" t="str">
        <f>IF(Tabela_do_wyboru[[#This Row],[sem3.forma]]&lt;&gt;"",Tabela_do_wyboru[[#This Row],[sem3.forma]],"")</f>
        <v/>
      </c>
      <c r="S81" s="355" t="str">
        <f>IF(Tabela_do_wyboru[[#This Row],[sem4.godziny]]&lt;&gt;"",IF(Tabela_do_wyboru[[#This Row],[sem4.godziny]]&gt;14,Tabela_do_wyboru[[#This Row],[sem4.godziny]]*0.6,Tabela_do_wyboru[[#This Row],[sem4.godziny]]),"")</f>
        <v/>
      </c>
      <c r="T81" s="355" t="str" cm="1">
        <f t="array" ref="T81">IF(Tabela_do_wyboru_nst[[#This Row],[czy.ects]]="TAK",_xlfn.IFS(AND(Tabela_do_wyboru_nst[[#This Row],[sem4.godziny]]&gt;=$Q$195,Tabela_do_wyboru_nst[[#This Row],[sem4.forma]]="z"),8,AND(Tabela_do_wyboru_nst[[#This Row],[sem4.godziny]]&gt;=$I$195,Tabela_do_wyboru_nst[[#This Row],[sem4.forma]]="z"),4,AND(Tabela_do_wyboru_nst[[#This Row],[sem4.godziny]]&gt;=$H$195,Tabela_do_wyboru_nst[[#This Row],[sem4.forma]]="e"),2,AND(Tabela_do_wyboru_nst[[#This Row],[sem4.godziny]]&lt;$H$195,Tabela_do_wyboru_nst[[#This Row],[sem4.forma]]="e"),1,AND(Tabela_do_wyboru_nst[[#This Row],[sem4.godziny]]&gt;=$H$195,Tabela_do_wyboru_nst[[#This Row],[sem4.forma]]="z"),2,AND(Tabela_do_wyboru_nst[[#This Row],[sem4.godziny]]&lt;$H$195,Tabela_do_wyboru_nst[[#This Row],[sem4.forma]]="z"),1,TRUE,""),"")</f>
        <v/>
      </c>
      <c r="U81" s="355" t="str">
        <f>IF(Tabela_do_wyboru[[#This Row],[sem4.forma]]&lt;&gt;"",Tabela_do_wyboru[[#This Row],[sem4.forma]],"")</f>
        <v/>
      </c>
      <c r="V81" s="180" t="str">
        <f>IF(Tabela_do_wyboru[[#This Row],[sem5.godziny]]&lt;&gt;"",IF(Tabela_do_wyboru[[#This Row],[sem5.godziny]]&gt;14,Tabela_do_wyboru[[#This Row],[sem5.godziny]]*0.6,Tabela_do_wyboru[[#This Row],[sem5.godziny]]),"")</f>
        <v/>
      </c>
      <c r="W81" s="180" t="str" cm="1">
        <f t="array" ref="W81">IF(Tabela_do_wyboru_nst[[#This Row],[czy.ects]]="TAK",_xlfn.IFS(AND(Tabela_do_wyboru_nst[[#This Row],[sem5.godziny]]&gt;=$Q$195,Tabela_do_wyboru_nst[[#This Row],[sem5.forma]]="z"),8,AND(Tabela_do_wyboru_nst[[#This Row],[sem5.godziny]]&gt;=$I$195,Tabela_do_wyboru_nst[[#This Row],[sem5.forma]]="z"),4,AND(Tabela_do_wyboru_nst[[#This Row],[sem5.godziny]]&gt;=$H$195,Tabela_do_wyboru_nst[[#This Row],[sem5.forma]]="e"),2,AND(Tabela_do_wyboru_nst[[#This Row],[sem5.godziny]]&lt;$H$195,Tabela_do_wyboru_nst[[#This Row],[sem5.forma]]="e"),1,AND(Tabela_do_wyboru_nst[[#This Row],[sem5.godziny]]&gt;=$H$195,Tabela_do_wyboru_nst[[#This Row],[sem5.forma]]="z"),2,AND(Tabela_do_wyboru_nst[[#This Row],[sem5.godziny]]&lt;$H$195,Tabela_do_wyboru_nst[[#This Row],[sem5.forma]]="z"),1,TRUE,""),"")</f>
        <v/>
      </c>
      <c r="X81" s="180" t="str">
        <f>IF(Tabela_do_wyboru[[#This Row],[sem5.forma]]&lt;&gt;"",Tabela_do_wyboru[[#This Row],[sem5.forma]],"")</f>
        <v/>
      </c>
      <c r="Y81" s="181" t="str">
        <f>IF(Tabela_do_wyboru[[#This Row],[sem6.godziny]]&lt;&gt;"",IF(Tabela_do_wyboru[[#This Row],[sem6.godziny]]&gt;14,Tabela_do_wyboru[[#This Row],[sem6.godziny]]*0.6,Tabela_do_wyboru[[#This Row],[sem6.godziny]]),"")</f>
        <v/>
      </c>
      <c r="Z81" s="181" t="str" cm="1">
        <f t="array" ref="Z81">IF(Tabela_do_wyboru_nst[[#This Row],[czy.ects]]="TAK",_xlfn.IFS(AND(Tabela_do_wyboru_nst[[#This Row],[sem6.godziny]]&gt;=$Q$195,Tabela_do_wyboru_nst[[#This Row],[sem6.forma]]="z"),8,AND(Tabela_do_wyboru_nst[[#This Row],[sem6.godziny]]&gt;=$I$195,Tabela_do_wyboru_nst[[#This Row],[sem6.forma]]="z"),4,AND(Tabela_do_wyboru_nst[[#This Row],[sem6.godziny]]&gt;=$H$195,Tabela_do_wyboru_nst[[#This Row],[sem6.forma]]="e"),2,AND(Tabela_do_wyboru_nst[[#This Row],[sem6.godziny]]&lt;$H$195,Tabela_do_wyboru_nst[[#This Row],[sem6.forma]]="e"),1,AND(Tabela_do_wyboru_nst[[#This Row],[sem6.godziny]]&gt;=$H$195,Tabela_do_wyboru_nst[[#This Row],[sem6.forma]]="z"),2,AND(Tabela_do_wyboru_nst[[#This Row],[sem6.godziny]]&lt;$H$195,Tabela_do_wyboru_nst[[#This Row],[sem6.forma]]="z"),1,TRUE,""),"")</f>
        <v/>
      </c>
      <c r="AA81" s="181" t="str">
        <f>IF(Tabela_do_wyboru[[#This Row],[sem6.forma]]&lt;&gt;"",Tabela_do_wyboru[[#This Row],[sem6.forma]],"")</f>
        <v/>
      </c>
      <c r="AB81" s="182" t="str">
        <f>IF(Tabela_do_wyboru[[#This Row],[sem7.godziny]]&lt;&gt;"",IF(Tabela_do_wyboru[[#This Row],[sem7.godziny]]&gt;14,Tabela_do_wyboru[[#This Row],[sem7.godziny]]*0.6,Tabela_do_wyboru[[#This Row],[sem7.godziny]]),"")</f>
        <v/>
      </c>
      <c r="AC81" s="182" t="str" cm="1">
        <f t="array" ref="AC81">IF(Tabela_do_wyboru_nst[[#This Row],[czy.ects]]="TAK",_xlfn.IFS(AND(Tabela_do_wyboru_nst[[#This Row],[sem7.godziny]]&gt;=$Q$195,Tabela_do_wyboru_nst[[#This Row],[sem7.forma]]="z"),8,AND(Tabela_do_wyboru_nst[[#This Row],[sem7.godziny]]&gt;=$I$195,Tabela_do_wyboru_nst[[#This Row],[sem7.forma]]="z"),4,AND(Tabela_do_wyboru_nst[[#This Row],[sem7.godziny]]&gt;=$H$195,Tabela_do_wyboru_nst[[#This Row],[sem7.forma]]="e"),2,AND(Tabela_do_wyboru_nst[[#This Row],[sem7.godziny]]&lt;$H$195,Tabela_do_wyboru_nst[[#This Row],[sem7.forma]]="e"),1,AND(Tabela_do_wyboru_nst[[#This Row],[sem7.godziny]]&gt;=$H$195,Tabela_do_wyboru_nst[[#This Row],[sem7.forma]]="z"),2,AND(Tabela_do_wyboru_nst[[#This Row],[sem7.godziny]]&lt;$H$195,Tabela_do_wyboru_nst[[#This Row],[sem7.forma]]="z"),1,TRUE,""),"")</f>
        <v/>
      </c>
      <c r="AD81" s="182" t="str">
        <f>IF(Tabela_do_wyboru[[#This Row],[sem7.forma]]&lt;&gt;"",Tabela_do_wyboru[[#This Row],[sem7.forma]],"")</f>
        <v/>
      </c>
      <c r="AE81" s="183" t="str">
        <f>IF(Tabela_do_wyboru[[#This Row],[sem8.godziny]]&lt;&gt;"",IF(Tabela_do_wyboru[[#This Row],[sem8.godziny]]&gt;14,Tabela_do_wyboru[[#This Row],[sem8.godziny]]*0.6,Tabela_do_wyboru[[#This Row],[sem8.godziny]]),"")</f>
        <v/>
      </c>
      <c r="AF81" s="183" t="str" cm="1">
        <f t="array" ref="AF81">IF(Tabela_do_wyboru_nst[[#This Row],[czy.ects]]="TAK",_xlfn.IFS(AND(Tabela_do_wyboru_nst[[#This Row],[sem8.godziny]]&gt;=$Q$195,Tabela_do_wyboru_nst[[#This Row],[sem8.forma]]="z"),8,AND(Tabela_do_wyboru_nst[[#This Row],[sem8.godziny]]&gt;=$I$195,Tabela_do_wyboru_nst[[#This Row],[sem8.forma]]="z"),4,AND(Tabela_do_wyboru_nst[[#This Row],[sem8.godziny]]&gt;=$H$195,Tabela_do_wyboru_nst[[#This Row],[sem8.forma]]="e"),2,AND(Tabela_do_wyboru_nst[[#This Row],[sem8.godziny]]&lt;$H$195,Tabela_do_wyboru_nst[[#This Row],[sem8.forma]]="e"),1,AND(Tabela_do_wyboru_nst[[#This Row],[sem8.godziny]]&gt;=$H$195,Tabela_do_wyboru_nst[[#This Row],[sem8.forma]]="z"),2,AND(Tabela_do_wyboru_nst[[#This Row],[sem8.godziny]]&lt;$H$195,Tabela_do_wyboru_nst[[#This Row],[sem8.forma]]="z"),1,TRUE,""),"")</f>
        <v/>
      </c>
      <c r="AG81" s="183" t="str">
        <f>IF(Tabela_do_wyboru[[#This Row],[sem8.forma]]&lt;&gt;"",Tabela_do_wyboru[[#This Row],[sem8.forma]],"")</f>
        <v/>
      </c>
      <c r="AH81" s="184" t="str">
        <f>IF(Tabela_do_wyboru[[#This Row],[sem9.godziny]]&lt;&gt;"",IF(Tabela_do_wyboru[[#This Row],[sem9.godziny]]&gt;14,Tabela_do_wyboru[[#This Row],[sem9.godziny]]*0.6,Tabela_do_wyboru[[#This Row],[sem9.godziny]]),"")</f>
        <v/>
      </c>
      <c r="AI81" s="184" t="str" cm="1">
        <f t="array" ref="AI81">IF(Tabela_do_wyboru_nst[[#This Row],[czy.ects]]="TAK",_xlfn.IFS(AND(Tabela_do_wyboru_nst[[#This Row],[sem9.godziny]]&gt;=$Q$195,Tabela_do_wyboru_nst[[#This Row],[sem9.forma]]="z"),8,AND(Tabela_do_wyboru_nst[[#This Row],[sem9.godziny]]&gt;=$I$195,Tabela_do_wyboru_nst[[#This Row],[sem9.forma]]="z"),4,AND(Tabela_do_wyboru_nst[[#This Row],[sem9.godziny]]&gt;=$H$195,Tabela_do_wyboru_nst[[#This Row],[sem9.forma]]="e"),2,AND(Tabela_do_wyboru_nst[[#This Row],[sem9.godziny]]&lt;$H$195,Tabela_do_wyboru_nst[[#This Row],[sem9.forma]]="e"),1,AND(Tabela_do_wyboru_nst[[#This Row],[sem9.godziny]]&gt;=$H$195,Tabela_do_wyboru_nst[[#This Row],[sem9.forma]]="z"),2,AND(Tabela_do_wyboru_nst[[#This Row],[sem9.godziny]]&lt;$H$195,Tabela_do_wyboru_nst[[#This Row],[sem9.forma]]="z"),1,TRUE,""),"")</f>
        <v/>
      </c>
      <c r="AJ81" s="184" t="str">
        <f>IF(Tabela_do_wyboru[[#This Row],[sem9.forma]]&lt;&gt;"",Tabela_do_wyboru[[#This Row],[sem9.forma]],"")</f>
        <v/>
      </c>
      <c r="AK81" s="185" t="str">
        <f>IF(Tabela_do_wyboru[[#This Row],[sem10.godziny]]&lt;&gt;"",IF(Tabela_do_wyboru[[#This Row],[sem10.godziny]]&gt;14,Tabela_do_wyboru[[#This Row],[sem10.godziny]]*0.6,Tabela_do_wyboru[[#This Row],[sem10.godziny]]),"")</f>
        <v/>
      </c>
      <c r="AL81" s="185" t="str" cm="1">
        <f t="array" ref="AL81">IF(Tabela_do_wyboru_nst[[#This Row],[czy.ects]]="TAK",_xlfn.IFS(AND(Tabela_do_wyboru_nst[[#This Row],[sem10.godziny]]&gt;=$Q$195,Tabela_do_wyboru_nst[[#This Row],[sem10.forma]]="z"),8,AND(Tabela_do_wyboru_nst[[#This Row],[sem10.godziny]]&gt;=$I$195,Tabela_do_wyboru_nst[[#This Row],[sem10.forma]]="z"),4,AND(Tabela_do_wyboru_nst[[#This Row],[sem10.godziny]]&gt;=$H$195,Tabela_do_wyboru_nst[[#This Row],[sem10.forma]]="e"),2,AND(Tabela_do_wyboru_nst[[#This Row],[sem10.godziny]]&lt;$H$195,Tabela_do_wyboru_nst[[#This Row],[sem10.forma]]="e"),1,AND(Tabela_do_wyboru_nst[[#This Row],[sem10.godziny]]&gt;=$H$195,Tabela_do_wyboru_nst[[#This Row],[sem10.forma]]="z"),2,AND(Tabela_do_wyboru_nst[[#This Row],[sem10.godziny]]&lt;$H$195,Tabela_do_wyboru_nst[[#This Row],[sem10.forma]]="z"),1,TRUE,""),"")</f>
        <v/>
      </c>
      <c r="AM81" s="185" t="str">
        <f>IF(Tabela_do_wyboru[[#This Row],[sem10.forma]]&lt;&gt;"",Tabela_do_wyboru[[#This Row],[sem10.forma]],"")</f>
        <v/>
      </c>
      <c r="AN81" s="186">
        <f>SUM(Tabela_do_wyboru_nst[[#This Row],[sem1.ects]],Tabela_do_wyboru_nst[[#This Row],[sem2.ects]],Tabela_do_wyboru_nst[[#This Row],[sem3.ects]],Tabela_do_wyboru_nst[[#This Row],[sem4.ects]],Tabela_do_wyboru_nst[[#This Row],[sem5.ects]],Tabela_do_wyboru_nst[[#This Row],[sem6.ects]],Tabela_do_wyboru_nst[[#This Row],[sem7.ects]],Tabela_do_wyboru_nst[[#This Row],[sem8.ects]],Tabela_do_wyboru_nst[[#This Row],[sem9.ects]],Tabela_do_wyboru_nst[[#This Row],[sem10.ects]])</f>
        <v>0</v>
      </c>
      <c r="AO81" s="187">
        <f>IF(ISERR(SEARCH("UP",Tabela_do_wyboru_nst[[#This Row],[Umiej.prakt.]],1)),0,Tabela_do_wyboru_nst[[#This Row],[ects.razem]])</f>
        <v>0</v>
      </c>
      <c r="AP81" s="188">
        <f>IF(Tabela_do_wyboru_nst[[#This Row],[czy.ects]]="TAK",ROUND((SUM(Tabela_do_wyboru_nst[[#This Row],[godziny.konsultacja]],Tabela_do_wyboru_nst[[#This Row],[godziny.egzamin]],Tabela_do_wyboru_nst[[#This Row],[godziny.zajec.razem]])/25)/0.5,0)*0.5,0)</f>
        <v>0</v>
      </c>
      <c r="AQ81" s="310">
        <f>SUM(Tabela_do_wyboru_nst[[#This Row],[godziny.samoksztalcenie]],Tabela_do_wyboru_nst[[#This Row],[godziny.konsultacja]],Tabela_do_wyboru_nst[[#This Row],[godziny.egzamin]],Tabela_do_wyboru_nst[[#This Row],[godziny.zajec.razem]])</f>
        <v>0</v>
      </c>
      <c r="AR81" s="311">
        <f>Tabela_do_wyboru[[#This Row],[godziny.samoksztalcenie]]+(Tabela_do_wyboru[[#This Row],[godziny.zajec.razem]]-Tabela_do_wyboru_nst[[#This Row],[godziny.zajec.razem]])</f>
        <v>0</v>
      </c>
      <c r="AS81" s="189">
        <f>Tabela_do_wyboru[[#This Row],[godziny.konsultacja]]</f>
        <v>0</v>
      </c>
      <c r="AT81" s="179">
        <f>Tabela_do_wyboru[[#This Row],[godziny.egzamin]]</f>
        <v>0</v>
      </c>
      <c r="AU81" s="190">
        <f>SUM(Tabela_do_wyboru_nst[[#This Row],[sem1.godziny]],Tabela_do_wyboru_nst[[#This Row],[sem2.godziny]],Tabela_do_wyboru_nst[[#This Row],[sem3.godziny]],Tabela_do_wyboru_nst[[#This Row],[sem4.godziny]],Tabela_do_wyboru_nst[[#This Row],[sem5.godziny]],Tabela_do_wyboru_nst[[#This Row],[sem6.godziny]],Tabela_do_wyboru_nst[[#This Row],[sem7.godziny]],Tabela_do_wyboru_nst[[#This Row],[sem8.godziny]],Tabela_do_wyboru_nst[[#This Row],[sem9.godziny]],Tabela_do_wyboru_nst[[#This Row],[sem10.godziny]])</f>
        <v>0</v>
      </c>
      <c r="AV81" s="334">
        <f>IF(Tabela_do_wyboru_nst[[#This Row],[ects.bezposr.nauczyciel]],Tabela_do_wyboru_nst[[#This Row],[ects.bezposr.nauczyciel]]/Tabela_do_wyboru_nst[[#This Row],[ects.razem]],0)</f>
        <v>0</v>
      </c>
      <c r="AW81" s="258"/>
    </row>
    <row r="82" spans="1:49" s="102" customFormat="1" ht="25.5" hidden="1" customHeight="1" x14ac:dyDescent="0.3">
      <c r="A82" s="258"/>
      <c r="B82" s="333" t="str">
        <f>IF(Tabela_do_wyboru[[#This Row],[kod.isced]]&lt;&gt;"",Tabela_do_wyboru[[#This Row],[kod.isced]],"")</f>
        <v/>
      </c>
      <c r="C82" s="193" t="str">
        <f>IF(Tabela_do_wyboru[[#This Row],[kod.dziedziny]]&lt;&gt;"",Tabela_do_wyboru[[#This Row],[kod.dziedziny]],"")</f>
        <v/>
      </c>
      <c r="D82" s="193" t="str">
        <f>IF(Tabela_do_wyboru[[#This Row],[Modul]]&lt;&gt;"",Tabela_do_wyboru[[#This Row],[Modul]],"")</f>
        <v/>
      </c>
      <c r="E82" s="193" t="str">
        <f>IF(Tabela_do_wyboru[[#This Row],[Umiej.prakt.]]&lt;&gt;"",Tabela_do_wyboru[[#This Row],[Umiej.prakt.]],"")</f>
        <v/>
      </c>
      <c r="F82" s="308" t="str">
        <f>IF(Tabela_do_wyboru[[#This Row],[Nazwa przedmiotu]]&lt;&gt;"",Tabela_do_wyboru[[#This Row],[Nazwa przedmiotu]],"")</f>
        <v/>
      </c>
      <c r="G82" s="309" t="str">
        <f>IF(Tabela_do_wyboru[[#This Row],[Prowadzacy]]&lt;&gt;"",Tabela_do_wyboru[[#This Row],[Prowadzacy]],"")</f>
        <v/>
      </c>
      <c r="H82" s="155" t="str">
        <f>IF(Tabela_do_wyboru[[#This Row],[Forma]]&lt;&gt;"",Tabela_do_wyboru[[#This Row],[Forma]],"")</f>
        <v/>
      </c>
      <c r="I82" s="156" t="str">
        <f>IF(Tabela_do_wyboru[[#This Row],[czy.ects]]&lt;&gt;"",Tabela_do_wyboru[[#This Row],[czy.ects]],"")</f>
        <v/>
      </c>
      <c r="J82" s="356" t="str">
        <f>IF(Tabela_do_wyboru[[#This Row],[sem1.godziny]]&lt;&gt;"",IF(Tabela_do_wyboru[[#This Row],[sem1.godziny]]&gt;14,Tabela_do_wyboru[[#This Row],[sem1.godziny]]*0.6,Tabela_do_wyboru[[#This Row],[sem1.godziny]]),"")</f>
        <v/>
      </c>
      <c r="K82" s="356" t="str" cm="1">
        <f t="array" ref="K82">IF(Tabela_do_wyboru_nst[[#This Row],[czy.ects]]="TAK",_xlfn.IFS(AND(Tabela_do_wyboru_nst[[#This Row],[sem1.godziny]]&gt;=$Q$195,Tabela_do_wyboru_nst[[#This Row],[sem1.forma]]="z"),8,AND(Tabela_do_wyboru_nst[[#This Row],[sem1.godziny]]&gt;=$I$195,Tabela_do_wyboru_nst[[#This Row],[sem1.forma]]="z"),4,AND(Tabela_do_wyboru_nst[[#This Row],[sem1.godziny]]&gt;=$H$195,Tabela_do_wyboru_nst[[#This Row],[sem1.forma]]="e"),2,AND(Tabela_do_wyboru_nst[[#This Row],[sem1.godziny]]&lt;$H$195,Tabela_do_wyboru_nst[[#This Row],[sem1.forma]]="e"),1,AND(Tabela_do_wyboru_nst[[#This Row],[sem1.godziny]]&gt;=$H$195,Tabela_do_wyboru_nst[[#This Row],[sem1.forma]]="z"),2,AND(Tabela_do_wyboru_nst[[#This Row],[sem1.godziny]]&lt;$H$195,Tabela_do_wyboru_nst[[#This Row],[sem1.forma]]="z"),1,TRUE,""),"")</f>
        <v/>
      </c>
      <c r="L82" s="356" t="str">
        <f>IF(Tabela_do_wyboru[[#This Row],[sem1.forma]]&lt;&gt;"",Tabela_do_wyboru[[#This Row],[sem1.forma]],"")</f>
        <v/>
      </c>
      <c r="M82" s="357" t="str">
        <f>IF(Tabela_do_wyboru[[#This Row],[sem2.godziny]]&lt;&gt;"",IF(Tabela_do_wyboru[[#This Row],[sem2.godziny]]&gt;14,Tabela_do_wyboru[[#This Row],[sem2.godziny]]*0.6,Tabela_do_wyboru[[#This Row],[sem2.godziny]]),"")</f>
        <v/>
      </c>
      <c r="N82" s="357" t="str" cm="1">
        <f t="array" ref="N82">IF(Tabela_do_wyboru_nst[[#This Row],[czy.ects]]="TAK",_xlfn.IFS(AND(Tabela_do_wyboru_nst[[#This Row],[sem2.godziny]]&gt;=$Q$195,Tabela_do_wyboru_nst[[#This Row],[sem2.forma]]="z"),8,AND(Tabela_do_wyboru_nst[[#This Row],[sem2.godziny]]&gt;=$I$195,Tabela_do_wyboru_nst[[#This Row],[sem2.forma]]="z"),4,AND(Tabela_do_wyboru_nst[[#This Row],[sem2.godziny]]&gt;=$H$195,Tabela_do_wyboru_nst[[#This Row],[sem2.forma]]="e"),2,AND(Tabela_do_wyboru_nst[[#This Row],[sem2.godziny]]&lt;$H$195,Tabela_do_wyboru_nst[[#This Row],[sem2.forma]]="e"),1,AND(Tabela_do_wyboru_nst[[#This Row],[sem2.godziny]]&gt;=$H$195,Tabela_do_wyboru_nst[[#This Row],[sem2.forma]]="z"),2,AND(Tabela_do_wyboru_nst[[#This Row],[sem2.godziny]]&lt;$H$195,Tabela_do_wyboru_nst[[#This Row],[sem2.forma]]="z"),1,TRUE,""),"")</f>
        <v/>
      </c>
      <c r="O82" s="357" t="str">
        <f>IF(Tabela_do_wyboru[[#This Row],[sem2.forma]]&lt;&gt;"",Tabela_do_wyboru[[#This Row],[sem2.forma]],"")</f>
        <v/>
      </c>
      <c r="P82" s="358" t="str">
        <f>IF(Tabela_do_wyboru[[#This Row],[sem3.godziny]]&lt;&gt;"",IF(Tabela_do_wyboru[[#This Row],[sem3.godziny]]&gt;14,Tabela_do_wyboru[[#This Row],[sem3.godziny]]*0.6,Tabela_do_wyboru[[#This Row],[sem3.godziny]]),"")</f>
        <v/>
      </c>
      <c r="Q82" s="359" t="str" cm="1">
        <f t="array" ref="Q82">IF(Tabela_do_wyboru_nst[[#This Row],[czy.ects]]="TAK",_xlfn.IFS(AND(Tabela_do_wyboru_nst[[#This Row],[sem3.godziny]]&gt;=$Q$195,Tabela_do_wyboru_nst[[#This Row],[sem3.forma]]="z"),8,AND(Tabela_do_wyboru_nst[[#This Row],[sem3.godziny]]&gt;=$I$195,Tabela_do_wyboru_nst[[#This Row],[sem3.forma]]="z"),4,AND(Tabela_do_wyboru_nst[[#This Row],[sem3.godziny]]&gt;=$H$195,Tabela_do_wyboru_nst[[#This Row],[sem3.forma]]="e"),2,AND(Tabela_do_wyboru_nst[[#This Row],[sem3.godziny]]&lt;$H$195,Tabela_do_wyboru_nst[[#This Row],[sem3.forma]]="e"),1,AND(Tabela_do_wyboru_nst[[#This Row],[sem3.godziny]]&gt;=$H$195,Tabela_do_wyboru_nst[[#This Row],[sem3.forma]]="z"),2,AND(Tabela_do_wyboru_nst[[#This Row],[sem3.godziny]]&lt;$H$195,Tabela_do_wyboru_nst[[#This Row],[sem3.forma]]="z"),1,TRUE,""),"")</f>
        <v/>
      </c>
      <c r="R82" s="358" t="str">
        <f>IF(Tabela_do_wyboru[[#This Row],[sem3.forma]]&lt;&gt;"",Tabela_do_wyboru[[#This Row],[sem3.forma]],"")</f>
        <v/>
      </c>
      <c r="S82" s="355" t="str">
        <f>IF(Tabela_do_wyboru[[#This Row],[sem4.godziny]]&lt;&gt;"",IF(Tabela_do_wyboru[[#This Row],[sem4.godziny]]&gt;14,Tabela_do_wyboru[[#This Row],[sem4.godziny]]*0.6,Tabela_do_wyboru[[#This Row],[sem4.godziny]]),"")</f>
        <v/>
      </c>
      <c r="T82" s="355" t="str" cm="1">
        <f t="array" ref="T82">IF(Tabela_do_wyboru_nst[[#This Row],[czy.ects]]="TAK",_xlfn.IFS(AND(Tabela_do_wyboru_nst[[#This Row],[sem4.godziny]]&gt;=$Q$195,Tabela_do_wyboru_nst[[#This Row],[sem4.forma]]="z"),8,AND(Tabela_do_wyboru_nst[[#This Row],[sem4.godziny]]&gt;=$I$195,Tabela_do_wyboru_nst[[#This Row],[sem4.forma]]="z"),4,AND(Tabela_do_wyboru_nst[[#This Row],[sem4.godziny]]&gt;=$H$195,Tabela_do_wyboru_nst[[#This Row],[sem4.forma]]="e"),2,AND(Tabela_do_wyboru_nst[[#This Row],[sem4.godziny]]&lt;$H$195,Tabela_do_wyboru_nst[[#This Row],[sem4.forma]]="e"),1,AND(Tabela_do_wyboru_nst[[#This Row],[sem4.godziny]]&gt;=$H$195,Tabela_do_wyboru_nst[[#This Row],[sem4.forma]]="z"),2,AND(Tabela_do_wyboru_nst[[#This Row],[sem4.godziny]]&lt;$H$195,Tabela_do_wyboru_nst[[#This Row],[sem4.forma]]="z"),1,TRUE,""),"")</f>
        <v/>
      </c>
      <c r="U82" s="355" t="str">
        <f>IF(Tabela_do_wyboru[[#This Row],[sem4.forma]]&lt;&gt;"",Tabela_do_wyboru[[#This Row],[sem4.forma]],"")</f>
        <v/>
      </c>
      <c r="V82" s="180" t="str">
        <f>IF(Tabela_do_wyboru[[#This Row],[sem5.godziny]]&lt;&gt;"",IF(Tabela_do_wyboru[[#This Row],[sem5.godziny]]&gt;14,Tabela_do_wyboru[[#This Row],[sem5.godziny]]*0.6,Tabela_do_wyboru[[#This Row],[sem5.godziny]]),"")</f>
        <v/>
      </c>
      <c r="W82" s="180" t="str" cm="1">
        <f t="array" ref="W82">IF(Tabela_do_wyboru_nst[[#This Row],[czy.ects]]="TAK",_xlfn.IFS(AND(Tabela_do_wyboru_nst[[#This Row],[sem5.godziny]]&gt;=$Q$195,Tabela_do_wyboru_nst[[#This Row],[sem5.forma]]="z"),8,AND(Tabela_do_wyboru_nst[[#This Row],[sem5.godziny]]&gt;=$I$195,Tabela_do_wyboru_nst[[#This Row],[sem5.forma]]="z"),4,AND(Tabela_do_wyboru_nst[[#This Row],[sem5.godziny]]&gt;=$H$195,Tabela_do_wyboru_nst[[#This Row],[sem5.forma]]="e"),2,AND(Tabela_do_wyboru_nst[[#This Row],[sem5.godziny]]&lt;$H$195,Tabela_do_wyboru_nst[[#This Row],[sem5.forma]]="e"),1,AND(Tabela_do_wyboru_nst[[#This Row],[sem5.godziny]]&gt;=$H$195,Tabela_do_wyboru_nst[[#This Row],[sem5.forma]]="z"),2,AND(Tabela_do_wyboru_nst[[#This Row],[sem5.godziny]]&lt;$H$195,Tabela_do_wyboru_nst[[#This Row],[sem5.forma]]="z"),1,TRUE,""),"")</f>
        <v/>
      </c>
      <c r="X82" s="180" t="str">
        <f>IF(Tabela_do_wyboru[[#This Row],[sem5.forma]]&lt;&gt;"",Tabela_do_wyboru[[#This Row],[sem5.forma]],"")</f>
        <v/>
      </c>
      <c r="Y82" s="181" t="str">
        <f>IF(Tabela_do_wyboru[[#This Row],[sem6.godziny]]&lt;&gt;"",IF(Tabela_do_wyboru[[#This Row],[sem6.godziny]]&gt;14,Tabela_do_wyboru[[#This Row],[sem6.godziny]]*0.6,Tabela_do_wyboru[[#This Row],[sem6.godziny]]),"")</f>
        <v/>
      </c>
      <c r="Z82" s="181" t="str" cm="1">
        <f t="array" ref="Z82">IF(Tabela_do_wyboru_nst[[#This Row],[czy.ects]]="TAK",_xlfn.IFS(AND(Tabela_do_wyboru_nst[[#This Row],[sem6.godziny]]&gt;=$Q$195,Tabela_do_wyboru_nst[[#This Row],[sem6.forma]]="z"),8,AND(Tabela_do_wyboru_nst[[#This Row],[sem6.godziny]]&gt;=$I$195,Tabela_do_wyboru_nst[[#This Row],[sem6.forma]]="z"),4,AND(Tabela_do_wyboru_nst[[#This Row],[sem6.godziny]]&gt;=$H$195,Tabela_do_wyboru_nst[[#This Row],[sem6.forma]]="e"),2,AND(Tabela_do_wyboru_nst[[#This Row],[sem6.godziny]]&lt;$H$195,Tabela_do_wyboru_nst[[#This Row],[sem6.forma]]="e"),1,AND(Tabela_do_wyboru_nst[[#This Row],[sem6.godziny]]&gt;=$H$195,Tabela_do_wyboru_nst[[#This Row],[sem6.forma]]="z"),2,AND(Tabela_do_wyboru_nst[[#This Row],[sem6.godziny]]&lt;$H$195,Tabela_do_wyboru_nst[[#This Row],[sem6.forma]]="z"),1,TRUE,""),"")</f>
        <v/>
      </c>
      <c r="AA82" s="181" t="str">
        <f>IF(Tabela_do_wyboru[[#This Row],[sem6.forma]]&lt;&gt;"",Tabela_do_wyboru[[#This Row],[sem6.forma]],"")</f>
        <v/>
      </c>
      <c r="AB82" s="182" t="str">
        <f>IF(Tabela_do_wyboru[[#This Row],[sem7.godziny]]&lt;&gt;"",IF(Tabela_do_wyboru[[#This Row],[sem7.godziny]]&gt;14,Tabela_do_wyboru[[#This Row],[sem7.godziny]]*0.6,Tabela_do_wyboru[[#This Row],[sem7.godziny]]),"")</f>
        <v/>
      </c>
      <c r="AC82" s="182" t="str" cm="1">
        <f t="array" ref="AC82">IF(Tabela_do_wyboru_nst[[#This Row],[czy.ects]]="TAK",_xlfn.IFS(AND(Tabela_do_wyboru_nst[[#This Row],[sem7.godziny]]&gt;=$Q$195,Tabela_do_wyboru_nst[[#This Row],[sem7.forma]]="z"),8,AND(Tabela_do_wyboru_nst[[#This Row],[sem7.godziny]]&gt;=$I$195,Tabela_do_wyboru_nst[[#This Row],[sem7.forma]]="z"),4,AND(Tabela_do_wyboru_nst[[#This Row],[sem7.godziny]]&gt;=$H$195,Tabela_do_wyboru_nst[[#This Row],[sem7.forma]]="e"),2,AND(Tabela_do_wyboru_nst[[#This Row],[sem7.godziny]]&lt;$H$195,Tabela_do_wyboru_nst[[#This Row],[sem7.forma]]="e"),1,AND(Tabela_do_wyboru_nst[[#This Row],[sem7.godziny]]&gt;=$H$195,Tabela_do_wyboru_nst[[#This Row],[sem7.forma]]="z"),2,AND(Tabela_do_wyboru_nst[[#This Row],[sem7.godziny]]&lt;$H$195,Tabela_do_wyboru_nst[[#This Row],[sem7.forma]]="z"),1,TRUE,""),"")</f>
        <v/>
      </c>
      <c r="AD82" s="182" t="str">
        <f>IF(Tabela_do_wyboru[[#This Row],[sem7.forma]]&lt;&gt;"",Tabela_do_wyboru[[#This Row],[sem7.forma]],"")</f>
        <v/>
      </c>
      <c r="AE82" s="183" t="str">
        <f>IF(Tabela_do_wyboru[[#This Row],[sem8.godziny]]&lt;&gt;"",IF(Tabela_do_wyboru[[#This Row],[sem8.godziny]]&gt;14,Tabela_do_wyboru[[#This Row],[sem8.godziny]]*0.6,Tabela_do_wyboru[[#This Row],[sem8.godziny]]),"")</f>
        <v/>
      </c>
      <c r="AF82" s="183" t="str" cm="1">
        <f t="array" ref="AF82">IF(Tabela_do_wyboru_nst[[#This Row],[czy.ects]]="TAK",_xlfn.IFS(AND(Tabela_do_wyboru_nst[[#This Row],[sem8.godziny]]&gt;=$Q$195,Tabela_do_wyboru_nst[[#This Row],[sem8.forma]]="z"),8,AND(Tabela_do_wyboru_nst[[#This Row],[sem8.godziny]]&gt;=$I$195,Tabela_do_wyboru_nst[[#This Row],[sem8.forma]]="z"),4,AND(Tabela_do_wyboru_nst[[#This Row],[sem8.godziny]]&gt;=$H$195,Tabela_do_wyboru_nst[[#This Row],[sem8.forma]]="e"),2,AND(Tabela_do_wyboru_nst[[#This Row],[sem8.godziny]]&lt;$H$195,Tabela_do_wyboru_nst[[#This Row],[sem8.forma]]="e"),1,AND(Tabela_do_wyboru_nst[[#This Row],[sem8.godziny]]&gt;=$H$195,Tabela_do_wyboru_nst[[#This Row],[sem8.forma]]="z"),2,AND(Tabela_do_wyboru_nst[[#This Row],[sem8.godziny]]&lt;$H$195,Tabela_do_wyboru_nst[[#This Row],[sem8.forma]]="z"),1,TRUE,""),"")</f>
        <v/>
      </c>
      <c r="AG82" s="183" t="str">
        <f>IF(Tabela_do_wyboru[[#This Row],[sem8.forma]]&lt;&gt;"",Tabela_do_wyboru[[#This Row],[sem8.forma]],"")</f>
        <v/>
      </c>
      <c r="AH82" s="184" t="str">
        <f>IF(Tabela_do_wyboru[[#This Row],[sem9.godziny]]&lt;&gt;"",IF(Tabela_do_wyboru[[#This Row],[sem9.godziny]]&gt;14,Tabela_do_wyboru[[#This Row],[sem9.godziny]]*0.6,Tabela_do_wyboru[[#This Row],[sem9.godziny]]),"")</f>
        <v/>
      </c>
      <c r="AI82" s="184" t="str" cm="1">
        <f t="array" ref="AI82">IF(Tabela_do_wyboru_nst[[#This Row],[czy.ects]]="TAK",_xlfn.IFS(AND(Tabela_do_wyboru_nst[[#This Row],[sem9.godziny]]&gt;=$Q$195,Tabela_do_wyboru_nst[[#This Row],[sem9.forma]]="z"),8,AND(Tabela_do_wyboru_nst[[#This Row],[sem9.godziny]]&gt;=$I$195,Tabela_do_wyboru_nst[[#This Row],[sem9.forma]]="z"),4,AND(Tabela_do_wyboru_nst[[#This Row],[sem9.godziny]]&gt;=$H$195,Tabela_do_wyboru_nst[[#This Row],[sem9.forma]]="e"),2,AND(Tabela_do_wyboru_nst[[#This Row],[sem9.godziny]]&lt;$H$195,Tabela_do_wyboru_nst[[#This Row],[sem9.forma]]="e"),1,AND(Tabela_do_wyboru_nst[[#This Row],[sem9.godziny]]&gt;=$H$195,Tabela_do_wyboru_nst[[#This Row],[sem9.forma]]="z"),2,AND(Tabela_do_wyboru_nst[[#This Row],[sem9.godziny]]&lt;$H$195,Tabela_do_wyboru_nst[[#This Row],[sem9.forma]]="z"),1,TRUE,""),"")</f>
        <v/>
      </c>
      <c r="AJ82" s="184" t="str">
        <f>IF(Tabela_do_wyboru[[#This Row],[sem9.forma]]&lt;&gt;"",Tabela_do_wyboru[[#This Row],[sem9.forma]],"")</f>
        <v/>
      </c>
      <c r="AK82" s="185" t="str">
        <f>IF(Tabela_do_wyboru[[#This Row],[sem10.godziny]]&lt;&gt;"",IF(Tabela_do_wyboru[[#This Row],[sem10.godziny]]&gt;14,Tabela_do_wyboru[[#This Row],[sem10.godziny]]*0.6,Tabela_do_wyboru[[#This Row],[sem10.godziny]]),"")</f>
        <v/>
      </c>
      <c r="AL82" s="185" t="str" cm="1">
        <f t="array" ref="AL82">IF(Tabela_do_wyboru_nst[[#This Row],[czy.ects]]="TAK",_xlfn.IFS(AND(Tabela_do_wyboru_nst[[#This Row],[sem10.godziny]]&gt;=$Q$195,Tabela_do_wyboru_nst[[#This Row],[sem10.forma]]="z"),8,AND(Tabela_do_wyboru_nst[[#This Row],[sem10.godziny]]&gt;=$I$195,Tabela_do_wyboru_nst[[#This Row],[sem10.forma]]="z"),4,AND(Tabela_do_wyboru_nst[[#This Row],[sem10.godziny]]&gt;=$H$195,Tabela_do_wyboru_nst[[#This Row],[sem10.forma]]="e"),2,AND(Tabela_do_wyboru_nst[[#This Row],[sem10.godziny]]&lt;$H$195,Tabela_do_wyboru_nst[[#This Row],[sem10.forma]]="e"),1,AND(Tabela_do_wyboru_nst[[#This Row],[sem10.godziny]]&gt;=$H$195,Tabela_do_wyboru_nst[[#This Row],[sem10.forma]]="z"),2,AND(Tabela_do_wyboru_nst[[#This Row],[sem10.godziny]]&lt;$H$195,Tabela_do_wyboru_nst[[#This Row],[sem10.forma]]="z"),1,TRUE,""),"")</f>
        <v/>
      </c>
      <c r="AM82" s="185" t="str">
        <f>IF(Tabela_do_wyboru[[#This Row],[sem10.forma]]&lt;&gt;"",Tabela_do_wyboru[[#This Row],[sem10.forma]],"")</f>
        <v/>
      </c>
      <c r="AN82" s="186">
        <f>SUM(Tabela_do_wyboru_nst[[#This Row],[sem1.ects]],Tabela_do_wyboru_nst[[#This Row],[sem2.ects]],Tabela_do_wyboru_nst[[#This Row],[sem3.ects]],Tabela_do_wyboru_nst[[#This Row],[sem4.ects]],Tabela_do_wyboru_nst[[#This Row],[sem5.ects]],Tabela_do_wyboru_nst[[#This Row],[sem6.ects]],Tabela_do_wyboru_nst[[#This Row],[sem7.ects]],Tabela_do_wyboru_nst[[#This Row],[sem8.ects]],Tabela_do_wyboru_nst[[#This Row],[sem9.ects]],Tabela_do_wyboru_nst[[#This Row],[sem10.ects]])</f>
        <v>0</v>
      </c>
      <c r="AO82" s="187">
        <f>IF(ISERR(SEARCH("UP",Tabela_do_wyboru_nst[[#This Row],[Umiej.prakt.]],1)),0,Tabela_do_wyboru_nst[[#This Row],[ects.razem]])</f>
        <v>0</v>
      </c>
      <c r="AP82" s="188">
        <f>IF(Tabela_do_wyboru_nst[[#This Row],[czy.ects]]="TAK",ROUND((SUM(Tabela_do_wyboru_nst[[#This Row],[godziny.konsultacja]],Tabela_do_wyboru_nst[[#This Row],[godziny.egzamin]],Tabela_do_wyboru_nst[[#This Row],[godziny.zajec.razem]])/25)/0.5,0)*0.5,0)</f>
        <v>0</v>
      </c>
      <c r="AQ82" s="310">
        <f>SUM(Tabela_do_wyboru_nst[[#This Row],[godziny.samoksztalcenie]],Tabela_do_wyboru_nst[[#This Row],[godziny.konsultacja]],Tabela_do_wyboru_nst[[#This Row],[godziny.egzamin]],Tabela_do_wyboru_nst[[#This Row],[godziny.zajec.razem]])</f>
        <v>0</v>
      </c>
      <c r="AR82" s="311">
        <f>Tabela_do_wyboru[[#This Row],[godziny.samoksztalcenie]]+(Tabela_do_wyboru[[#This Row],[godziny.zajec.razem]]-Tabela_do_wyboru_nst[[#This Row],[godziny.zajec.razem]])</f>
        <v>0</v>
      </c>
      <c r="AS82" s="189">
        <f>Tabela_do_wyboru[[#This Row],[godziny.konsultacja]]</f>
        <v>0</v>
      </c>
      <c r="AT82" s="179">
        <f>Tabela_do_wyboru[[#This Row],[godziny.egzamin]]</f>
        <v>0</v>
      </c>
      <c r="AU82" s="190">
        <f>SUM(Tabela_do_wyboru_nst[[#This Row],[sem1.godziny]],Tabela_do_wyboru_nst[[#This Row],[sem2.godziny]],Tabela_do_wyboru_nst[[#This Row],[sem3.godziny]],Tabela_do_wyboru_nst[[#This Row],[sem4.godziny]],Tabela_do_wyboru_nst[[#This Row],[sem5.godziny]],Tabela_do_wyboru_nst[[#This Row],[sem6.godziny]],Tabela_do_wyboru_nst[[#This Row],[sem7.godziny]],Tabela_do_wyboru_nst[[#This Row],[sem8.godziny]],Tabela_do_wyboru_nst[[#This Row],[sem9.godziny]],Tabela_do_wyboru_nst[[#This Row],[sem10.godziny]])</f>
        <v>0</v>
      </c>
      <c r="AV82" s="334">
        <f>IF(Tabela_do_wyboru_nst[[#This Row],[ects.bezposr.nauczyciel]],Tabela_do_wyboru_nst[[#This Row],[ects.bezposr.nauczyciel]]/Tabela_do_wyboru_nst[[#This Row],[ects.razem]],0)</f>
        <v>0</v>
      </c>
      <c r="AW82" s="258"/>
    </row>
    <row r="83" spans="1:49" ht="25.5" hidden="1" customHeight="1" x14ac:dyDescent="0.3">
      <c r="A83" s="207"/>
      <c r="B83" s="333" t="str">
        <f>IF(Tabela_do_wyboru[[#This Row],[kod.isced]]&lt;&gt;"",Tabela_do_wyboru[[#This Row],[kod.isced]],"")</f>
        <v/>
      </c>
      <c r="C83" s="193" t="str">
        <f>IF(Tabela_do_wyboru[[#This Row],[kod.dziedziny]]&lt;&gt;"",Tabela_do_wyboru[[#This Row],[kod.dziedziny]],"")</f>
        <v/>
      </c>
      <c r="D83" s="193" t="str">
        <f>IF(Tabela_do_wyboru[[#This Row],[Modul]]&lt;&gt;"",Tabela_do_wyboru[[#This Row],[Modul]],"")</f>
        <v/>
      </c>
      <c r="E83" s="193" t="str">
        <f>IF(Tabela_do_wyboru[[#This Row],[Umiej.prakt.]]&lt;&gt;"",Tabela_do_wyboru[[#This Row],[Umiej.prakt.]],"")</f>
        <v/>
      </c>
      <c r="F83" s="308" t="str">
        <f>IF(Tabela_do_wyboru[[#This Row],[Nazwa przedmiotu]]&lt;&gt;"",Tabela_do_wyboru[[#This Row],[Nazwa przedmiotu]],"")</f>
        <v/>
      </c>
      <c r="G83" s="309" t="str">
        <f>IF(Tabela_do_wyboru[[#This Row],[Prowadzacy]]&lt;&gt;"",Tabela_do_wyboru[[#This Row],[Prowadzacy]],"")</f>
        <v/>
      </c>
      <c r="H83" s="155" t="str">
        <f>IF(Tabela_do_wyboru[[#This Row],[Forma]]&lt;&gt;"",Tabela_do_wyboru[[#This Row],[Forma]],"")</f>
        <v/>
      </c>
      <c r="I83" s="156" t="str">
        <f>IF(Tabela_do_wyboru[[#This Row],[czy.ects]]&lt;&gt;"",Tabela_do_wyboru[[#This Row],[czy.ects]],"")</f>
        <v/>
      </c>
      <c r="J83" s="356" t="str">
        <f>IF(Tabela_do_wyboru[[#This Row],[sem1.godziny]]&lt;&gt;"",IF(Tabela_do_wyboru[[#This Row],[sem1.godziny]]&gt;14,Tabela_do_wyboru[[#This Row],[sem1.godziny]]*0.6,Tabela_do_wyboru[[#This Row],[sem1.godziny]]),"")</f>
        <v/>
      </c>
      <c r="K83" s="356" t="str" cm="1">
        <f t="array" ref="K83">IF(Tabela_do_wyboru_nst[[#This Row],[czy.ects]]="TAK",_xlfn.IFS(AND(Tabela_do_wyboru_nst[[#This Row],[sem1.godziny]]&gt;=$Q$195,Tabela_do_wyboru_nst[[#This Row],[sem1.forma]]="z"),8,AND(Tabela_do_wyboru_nst[[#This Row],[sem1.godziny]]&gt;=$I$195,Tabela_do_wyboru_nst[[#This Row],[sem1.forma]]="z"),4,AND(Tabela_do_wyboru_nst[[#This Row],[sem1.godziny]]&gt;=$H$195,Tabela_do_wyboru_nst[[#This Row],[sem1.forma]]="e"),2,AND(Tabela_do_wyboru_nst[[#This Row],[sem1.godziny]]&lt;$H$195,Tabela_do_wyboru_nst[[#This Row],[sem1.forma]]="e"),1,AND(Tabela_do_wyboru_nst[[#This Row],[sem1.godziny]]&gt;=$H$195,Tabela_do_wyboru_nst[[#This Row],[sem1.forma]]="z"),2,AND(Tabela_do_wyboru_nst[[#This Row],[sem1.godziny]]&lt;$H$195,Tabela_do_wyboru_nst[[#This Row],[sem1.forma]]="z"),1,TRUE,""),"")</f>
        <v/>
      </c>
      <c r="L83" s="356" t="str">
        <f>IF(Tabela_do_wyboru[[#This Row],[sem1.forma]]&lt;&gt;"",Tabela_do_wyboru[[#This Row],[sem1.forma]],"")</f>
        <v/>
      </c>
      <c r="M83" s="357" t="str">
        <f>IF(Tabela_do_wyboru[[#This Row],[sem2.godziny]]&lt;&gt;"",IF(Tabela_do_wyboru[[#This Row],[sem2.godziny]]&gt;14,Tabela_do_wyboru[[#This Row],[sem2.godziny]]*0.6,Tabela_do_wyboru[[#This Row],[sem2.godziny]]),"")</f>
        <v/>
      </c>
      <c r="N83" s="357" t="str" cm="1">
        <f t="array" ref="N83">IF(Tabela_do_wyboru_nst[[#This Row],[czy.ects]]="TAK",_xlfn.IFS(AND(Tabela_do_wyboru_nst[[#This Row],[sem2.godziny]]&gt;=$Q$195,Tabela_do_wyboru_nst[[#This Row],[sem2.forma]]="z"),8,AND(Tabela_do_wyboru_nst[[#This Row],[sem2.godziny]]&gt;=$I$195,Tabela_do_wyboru_nst[[#This Row],[sem2.forma]]="z"),4,AND(Tabela_do_wyboru_nst[[#This Row],[sem2.godziny]]&gt;=$H$195,Tabela_do_wyboru_nst[[#This Row],[sem2.forma]]="e"),2,AND(Tabela_do_wyboru_nst[[#This Row],[sem2.godziny]]&lt;$H$195,Tabela_do_wyboru_nst[[#This Row],[sem2.forma]]="e"),1,AND(Tabela_do_wyboru_nst[[#This Row],[sem2.godziny]]&gt;=$H$195,Tabela_do_wyboru_nst[[#This Row],[sem2.forma]]="z"),2,AND(Tabela_do_wyboru_nst[[#This Row],[sem2.godziny]]&lt;$H$195,Tabela_do_wyboru_nst[[#This Row],[sem2.forma]]="z"),1,TRUE,""),"")</f>
        <v/>
      </c>
      <c r="O83" s="357" t="str">
        <f>IF(Tabela_do_wyboru[[#This Row],[sem2.forma]]&lt;&gt;"",Tabela_do_wyboru[[#This Row],[sem2.forma]],"")</f>
        <v/>
      </c>
      <c r="P83" s="358" t="str">
        <f>IF(Tabela_do_wyboru[[#This Row],[sem3.godziny]]&lt;&gt;"",IF(Tabela_do_wyboru[[#This Row],[sem3.godziny]]&gt;14,Tabela_do_wyboru[[#This Row],[sem3.godziny]]*0.6,Tabela_do_wyboru[[#This Row],[sem3.godziny]]),"")</f>
        <v/>
      </c>
      <c r="Q83" s="359" t="str" cm="1">
        <f t="array" ref="Q83">IF(Tabela_do_wyboru_nst[[#This Row],[czy.ects]]="TAK",_xlfn.IFS(AND(Tabela_do_wyboru_nst[[#This Row],[sem3.godziny]]&gt;=$Q$195,Tabela_do_wyboru_nst[[#This Row],[sem3.forma]]="z"),8,AND(Tabela_do_wyboru_nst[[#This Row],[sem3.godziny]]&gt;=$I$195,Tabela_do_wyboru_nst[[#This Row],[sem3.forma]]="z"),4,AND(Tabela_do_wyboru_nst[[#This Row],[sem3.godziny]]&gt;=$H$195,Tabela_do_wyboru_nst[[#This Row],[sem3.forma]]="e"),2,AND(Tabela_do_wyboru_nst[[#This Row],[sem3.godziny]]&lt;$H$195,Tabela_do_wyboru_nst[[#This Row],[sem3.forma]]="e"),1,AND(Tabela_do_wyboru_nst[[#This Row],[sem3.godziny]]&gt;=$H$195,Tabela_do_wyboru_nst[[#This Row],[sem3.forma]]="z"),2,AND(Tabela_do_wyboru_nst[[#This Row],[sem3.godziny]]&lt;$H$195,Tabela_do_wyboru_nst[[#This Row],[sem3.forma]]="z"),1,TRUE,""),"")</f>
        <v/>
      </c>
      <c r="R83" s="358" t="str">
        <f>IF(Tabela_do_wyboru[[#This Row],[sem3.forma]]&lt;&gt;"",Tabela_do_wyboru[[#This Row],[sem3.forma]],"")</f>
        <v/>
      </c>
      <c r="S83" s="355" t="str">
        <f>IF(Tabela_do_wyboru[[#This Row],[sem4.godziny]]&lt;&gt;"",IF(Tabela_do_wyboru[[#This Row],[sem4.godziny]]&gt;14,Tabela_do_wyboru[[#This Row],[sem4.godziny]]*0.6,Tabela_do_wyboru[[#This Row],[sem4.godziny]]),"")</f>
        <v/>
      </c>
      <c r="T83" s="355" t="str" cm="1">
        <f t="array" ref="T83">IF(Tabela_do_wyboru_nst[[#This Row],[czy.ects]]="TAK",_xlfn.IFS(AND(Tabela_do_wyboru_nst[[#This Row],[sem4.godziny]]&gt;=$Q$195,Tabela_do_wyboru_nst[[#This Row],[sem4.forma]]="z"),8,AND(Tabela_do_wyboru_nst[[#This Row],[sem4.godziny]]&gt;=$I$195,Tabela_do_wyboru_nst[[#This Row],[sem4.forma]]="z"),4,AND(Tabela_do_wyboru_nst[[#This Row],[sem4.godziny]]&gt;=$H$195,Tabela_do_wyboru_nst[[#This Row],[sem4.forma]]="e"),2,AND(Tabela_do_wyboru_nst[[#This Row],[sem4.godziny]]&lt;$H$195,Tabela_do_wyboru_nst[[#This Row],[sem4.forma]]="e"),1,AND(Tabela_do_wyboru_nst[[#This Row],[sem4.godziny]]&gt;=$H$195,Tabela_do_wyboru_nst[[#This Row],[sem4.forma]]="z"),2,AND(Tabela_do_wyboru_nst[[#This Row],[sem4.godziny]]&lt;$H$195,Tabela_do_wyboru_nst[[#This Row],[sem4.forma]]="z"),1,TRUE,""),"")</f>
        <v/>
      </c>
      <c r="U83" s="355" t="str">
        <f>IF(Tabela_do_wyboru[[#This Row],[sem4.forma]]&lt;&gt;"",Tabela_do_wyboru[[#This Row],[sem4.forma]],"")</f>
        <v/>
      </c>
      <c r="V83" s="180" t="str">
        <f>IF(Tabela_do_wyboru[[#This Row],[sem5.godziny]]&lt;&gt;"",IF(Tabela_do_wyboru[[#This Row],[sem5.godziny]]&gt;14,Tabela_do_wyboru[[#This Row],[sem5.godziny]]*0.6,Tabela_do_wyboru[[#This Row],[sem5.godziny]]),"")</f>
        <v/>
      </c>
      <c r="W83" s="180" t="str" cm="1">
        <f t="array" ref="W83">IF(Tabela_do_wyboru_nst[[#This Row],[czy.ects]]="TAK",_xlfn.IFS(AND(Tabela_do_wyboru_nst[[#This Row],[sem5.godziny]]&gt;=$Q$195,Tabela_do_wyboru_nst[[#This Row],[sem5.forma]]="z"),8,AND(Tabela_do_wyboru_nst[[#This Row],[sem5.godziny]]&gt;=$I$195,Tabela_do_wyboru_nst[[#This Row],[sem5.forma]]="z"),4,AND(Tabela_do_wyboru_nst[[#This Row],[sem5.godziny]]&gt;=$H$195,Tabela_do_wyboru_nst[[#This Row],[sem5.forma]]="e"),2,AND(Tabela_do_wyboru_nst[[#This Row],[sem5.godziny]]&lt;$H$195,Tabela_do_wyboru_nst[[#This Row],[sem5.forma]]="e"),1,AND(Tabela_do_wyboru_nst[[#This Row],[sem5.godziny]]&gt;=$H$195,Tabela_do_wyboru_nst[[#This Row],[sem5.forma]]="z"),2,AND(Tabela_do_wyboru_nst[[#This Row],[sem5.godziny]]&lt;$H$195,Tabela_do_wyboru_nst[[#This Row],[sem5.forma]]="z"),1,TRUE,""),"")</f>
        <v/>
      </c>
      <c r="X83" s="180" t="str">
        <f>IF(Tabela_do_wyboru[[#This Row],[sem5.forma]]&lt;&gt;"",Tabela_do_wyboru[[#This Row],[sem5.forma]],"")</f>
        <v/>
      </c>
      <c r="Y83" s="181" t="str">
        <f>IF(Tabela_do_wyboru[[#This Row],[sem6.godziny]]&lt;&gt;"",IF(Tabela_do_wyboru[[#This Row],[sem6.godziny]]&gt;14,Tabela_do_wyboru[[#This Row],[sem6.godziny]]*0.6,Tabela_do_wyboru[[#This Row],[sem6.godziny]]),"")</f>
        <v/>
      </c>
      <c r="Z83" s="181" t="str" cm="1">
        <f t="array" ref="Z83">IF(Tabela_do_wyboru_nst[[#This Row],[czy.ects]]="TAK",_xlfn.IFS(AND(Tabela_do_wyboru_nst[[#This Row],[sem6.godziny]]&gt;=$Q$195,Tabela_do_wyboru_nst[[#This Row],[sem6.forma]]="z"),8,AND(Tabela_do_wyboru_nst[[#This Row],[sem6.godziny]]&gt;=$I$195,Tabela_do_wyboru_nst[[#This Row],[sem6.forma]]="z"),4,AND(Tabela_do_wyboru_nst[[#This Row],[sem6.godziny]]&gt;=$H$195,Tabela_do_wyboru_nst[[#This Row],[sem6.forma]]="e"),2,AND(Tabela_do_wyboru_nst[[#This Row],[sem6.godziny]]&lt;$H$195,Tabela_do_wyboru_nst[[#This Row],[sem6.forma]]="e"),1,AND(Tabela_do_wyboru_nst[[#This Row],[sem6.godziny]]&gt;=$H$195,Tabela_do_wyboru_nst[[#This Row],[sem6.forma]]="z"),2,AND(Tabela_do_wyboru_nst[[#This Row],[sem6.godziny]]&lt;$H$195,Tabela_do_wyboru_nst[[#This Row],[sem6.forma]]="z"),1,TRUE,""),"")</f>
        <v/>
      </c>
      <c r="AA83" s="181" t="str">
        <f>IF(Tabela_do_wyboru[[#This Row],[sem6.forma]]&lt;&gt;"",Tabela_do_wyboru[[#This Row],[sem6.forma]],"")</f>
        <v/>
      </c>
      <c r="AB83" s="182" t="str">
        <f>IF(Tabela_do_wyboru[[#This Row],[sem7.godziny]]&lt;&gt;"",IF(Tabela_do_wyboru[[#This Row],[sem7.godziny]]&gt;14,Tabela_do_wyboru[[#This Row],[sem7.godziny]]*0.6,Tabela_do_wyboru[[#This Row],[sem7.godziny]]),"")</f>
        <v/>
      </c>
      <c r="AC83" s="182" t="str" cm="1">
        <f t="array" ref="AC83">IF(Tabela_do_wyboru_nst[[#This Row],[czy.ects]]="TAK",_xlfn.IFS(AND(Tabela_do_wyboru_nst[[#This Row],[sem7.godziny]]&gt;=$Q$195,Tabela_do_wyboru_nst[[#This Row],[sem7.forma]]="z"),8,AND(Tabela_do_wyboru_nst[[#This Row],[sem7.godziny]]&gt;=$I$195,Tabela_do_wyboru_nst[[#This Row],[sem7.forma]]="z"),4,AND(Tabela_do_wyboru_nst[[#This Row],[sem7.godziny]]&gt;=$H$195,Tabela_do_wyboru_nst[[#This Row],[sem7.forma]]="e"),2,AND(Tabela_do_wyboru_nst[[#This Row],[sem7.godziny]]&lt;$H$195,Tabela_do_wyboru_nst[[#This Row],[sem7.forma]]="e"),1,AND(Tabela_do_wyboru_nst[[#This Row],[sem7.godziny]]&gt;=$H$195,Tabela_do_wyboru_nst[[#This Row],[sem7.forma]]="z"),2,AND(Tabela_do_wyboru_nst[[#This Row],[sem7.godziny]]&lt;$H$195,Tabela_do_wyboru_nst[[#This Row],[sem7.forma]]="z"),1,TRUE,""),"")</f>
        <v/>
      </c>
      <c r="AD83" s="182" t="str">
        <f>IF(Tabela_do_wyboru[[#This Row],[sem7.forma]]&lt;&gt;"",Tabela_do_wyboru[[#This Row],[sem7.forma]],"")</f>
        <v/>
      </c>
      <c r="AE83" s="183" t="str">
        <f>IF(Tabela_do_wyboru[[#This Row],[sem8.godziny]]&lt;&gt;"",IF(Tabela_do_wyboru[[#This Row],[sem8.godziny]]&gt;14,Tabela_do_wyboru[[#This Row],[sem8.godziny]]*0.6,Tabela_do_wyboru[[#This Row],[sem8.godziny]]),"")</f>
        <v/>
      </c>
      <c r="AF83" s="183" t="str" cm="1">
        <f t="array" ref="AF83">IF(Tabela_do_wyboru_nst[[#This Row],[czy.ects]]="TAK",_xlfn.IFS(AND(Tabela_do_wyboru_nst[[#This Row],[sem8.godziny]]&gt;=$Q$195,Tabela_do_wyboru_nst[[#This Row],[sem8.forma]]="z"),8,AND(Tabela_do_wyboru_nst[[#This Row],[sem8.godziny]]&gt;=$I$195,Tabela_do_wyboru_nst[[#This Row],[sem8.forma]]="z"),4,AND(Tabela_do_wyboru_nst[[#This Row],[sem8.godziny]]&gt;=$H$195,Tabela_do_wyboru_nst[[#This Row],[sem8.forma]]="e"),2,AND(Tabela_do_wyboru_nst[[#This Row],[sem8.godziny]]&lt;$H$195,Tabela_do_wyboru_nst[[#This Row],[sem8.forma]]="e"),1,AND(Tabela_do_wyboru_nst[[#This Row],[sem8.godziny]]&gt;=$H$195,Tabela_do_wyboru_nst[[#This Row],[sem8.forma]]="z"),2,AND(Tabela_do_wyboru_nst[[#This Row],[sem8.godziny]]&lt;$H$195,Tabela_do_wyboru_nst[[#This Row],[sem8.forma]]="z"),1,TRUE,""),"")</f>
        <v/>
      </c>
      <c r="AG83" s="183" t="str">
        <f>IF(Tabela_do_wyboru[[#This Row],[sem8.forma]]&lt;&gt;"",Tabela_do_wyboru[[#This Row],[sem8.forma]],"")</f>
        <v/>
      </c>
      <c r="AH83" s="184" t="str">
        <f>IF(Tabela_do_wyboru[[#This Row],[sem9.godziny]]&lt;&gt;"",IF(Tabela_do_wyboru[[#This Row],[sem9.godziny]]&gt;14,Tabela_do_wyboru[[#This Row],[sem9.godziny]]*0.6,Tabela_do_wyboru[[#This Row],[sem9.godziny]]),"")</f>
        <v/>
      </c>
      <c r="AI83" s="184" t="str" cm="1">
        <f t="array" ref="AI83">IF(Tabela_do_wyboru_nst[[#This Row],[czy.ects]]="TAK",_xlfn.IFS(AND(Tabela_do_wyboru_nst[[#This Row],[sem9.godziny]]&gt;=$Q$195,Tabela_do_wyboru_nst[[#This Row],[sem9.forma]]="z"),8,AND(Tabela_do_wyboru_nst[[#This Row],[sem9.godziny]]&gt;=$I$195,Tabela_do_wyboru_nst[[#This Row],[sem9.forma]]="z"),4,AND(Tabela_do_wyboru_nst[[#This Row],[sem9.godziny]]&gt;=$H$195,Tabela_do_wyboru_nst[[#This Row],[sem9.forma]]="e"),2,AND(Tabela_do_wyboru_nst[[#This Row],[sem9.godziny]]&lt;$H$195,Tabela_do_wyboru_nst[[#This Row],[sem9.forma]]="e"),1,AND(Tabela_do_wyboru_nst[[#This Row],[sem9.godziny]]&gt;=$H$195,Tabela_do_wyboru_nst[[#This Row],[sem9.forma]]="z"),2,AND(Tabela_do_wyboru_nst[[#This Row],[sem9.godziny]]&lt;$H$195,Tabela_do_wyboru_nst[[#This Row],[sem9.forma]]="z"),1,TRUE,""),"")</f>
        <v/>
      </c>
      <c r="AJ83" s="184" t="str">
        <f>IF(Tabela_do_wyboru[[#This Row],[sem9.forma]]&lt;&gt;"",Tabela_do_wyboru[[#This Row],[sem9.forma]],"")</f>
        <v/>
      </c>
      <c r="AK83" s="185" t="str">
        <f>IF(Tabela_do_wyboru[[#This Row],[sem10.godziny]]&lt;&gt;"",IF(Tabela_do_wyboru[[#This Row],[sem10.godziny]]&gt;14,Tabela_do_wyboru[[#This Row],[sem10.godziny]]*0.6,Tabela_do_wyboru[[#This Row],[sem10.godziny]]),"")</f>
        <v/>
      </c>
      <c r="AL83" s="185" t="str" cm="1">
        <f t="array" ref="AL83">IF(Tabela_do_wyboru_nst[[#This Row],[czy.ects]]="TAK",_xlfn.IFS(AND(Tabela_do_wyboru_nst[[#This Row],[sem10.godziny]]&gt;=$Q$195,Tabela_do_wyboru_nst[[#This Row],[sem10.forma]]="z"),8,AND(Tabela_do_wyboru_nst[[#This Row],[sem10.godziny]]&gt;=$I$195,Tabela_do_wyboru_nst[[#This Row],[sem10.forma]]="z"),4,AND(Tabela_do_wyboru_nst[[#This Row],[sem10.godziny]]&gt;=$H$195,Tabela_do_wyboru_nst[[#This Row],[sem10.forma]]="e"),2,AND(Tabela_do_wyboru_nst[[#This Row],[sem10.godziny]]&lt;$H$195,Tabela_do_wyboru_nst[[#This Row],[sem10.forma]]="e"),1,AND(Tabela_do_wyboru_nst[[#This Row],[sem10.godziny]]&gt;=$H$195,Tabela_do_wyboru_nst[[#This Row],[sem10.forma]]="z"),2,AND(Tabela_do_wyboru_nst[[#This Row],[sem10.godziny]]&lt;$H$195,Tabela_do_wyboru_nst[[#This Row],[sem10.forma]]="z"),1,TRUE,""),"")</f>
        <v/>
      </c>
      <c r="AM83" s="185" t="str">
        <f>IF(Tabela_do_wyboru[[#This Row],[sem10.forma]]&lt;&gt;"",Tabela_do_wyboru[[#This Row],[sem10.forma]],"")</f>
        <v/>
      </c>
      <c r="AN83" s="186">
        <f>SUM(Tabela_do_wyboru_nst[[#This Row],[sem1.ects]],Tabela_do_wyboru_nst[[#This Row],[sem2.ects]],Tabela_do_wyboru_nst[[#This Row],[sem3.ects]],Tabela_do_wyboru_nst[[#This Row],[sem4.ects]],Tabela_do_wyboru_nst[[#This Row],[sem5.ects]],Tabela_do_wyboru_nst[[#This Row],[sem6.ects]],Tabela_do_wyboru_nst[[#This Row],[sem7.ects]],Tabela_do_wyboru_nst[[#This Row],[sem8.ects]],Tabela_do_wyboru_nst[[#This Row],[sem9.ects]],Tabela_do_wyboru_nst[[#This Row],[sem10.ects]])</f>
        <v>0</v>
      </c>
      <c r="AO83" s="187">
        <f>IF(ISERR(SEARCH("UP",Tabela_do_wyboru_nst[[#This Row],[Umiej.prakt.]],1)),0,Tabela_do_wyboru_nst[[#This Row],[ects.razem]])</f>
        <v>0</v>
      </c>
      <c r="AP83" s="188">
        <f>IF(Tabela_do_wyboru_nst[[#This Row],[czy.ects]]="TAK",ROUND((SUM(Tabela_do_wyboru_nst[[#This Row],[godziny.konsultacja]],Tabela_do_wyboru_nst[[#This Row],[godziny.egzamin]],Tabela_do_wyboru_nst[[#This Row],[godziny.zajec.razem]])/25)/0.5,0)*0.5,0)</f>
        <v>0</v>
      </c>
      <c r="AQ83" s="310">
        <f>SUM(Tabela_do_wyboru_nst[[#This Row],[godziny.samoksztalcenie]],Tabela_do_wyboru_nst[[#This Row],[godziny.konsultacja]],Tabela_do_wyboru_nst[[#This Row],[godziny.egzamin]],Tabela_do_wyboru_nst[[#This Row],[godziny.zajec.razem]])</f>
        <v>0</v>
      </c>
      <c r="AR83" s="311">
        <f>Tabela_do_wyboru[[#This Row],[godziny.samoksztalcenie]]+(Tabela_do_wyboru[[#This Row],[godziny.zajec.razem]]-Tabela_do_wyboru_nst[[#This Row],[godziny.zajec.razem]])</f>
        <v>0</v>
      </c>
      <c r="AS83" s="189">
        <f>Tabela_do_wyboru[[#This Row],[godziny.konsultacja]]</f>
        <v>0</v>
      </c>
      <c r="AT83" s="179">
        <f>Tabela_do_wyboru[[#This Row],[godziny.egzamin]]</f>
        <v>0</v>
      </c>
      <c r="AU83" s="190">
        <f>SUM(Tabela_do_wyboru_nst[[#This Row],[sem1.godziny]],Tabela_do_wyboru_nst[[#This Row],[sem2.godziny]],Tabela_do_wyboru_nst[[#This Row],[sem3.godziny]],Tabela_do_wyboru_nst[[#This Row],[sem4.godziny]],Tabela_do_wyboru_nst[[#This Row],[sem5.godziny]],Tabela_do_wyboru_nst[[#This Row],[sem6.godziny]],Tabela_do_wyboru_nst[[#This Row],[sem7.godziny]],Tabela_do_wyboru_nst[[#This Row],[sem8.godziny]],Tabela_do_wyboru_nst[[#This Row],[sem9.godziny]],Tabela_do_wyboru_nst[[#This Row],[sem10.godziny]])</f>
        <v>0</v>
      </c>
      <c r="AV83" s="334">
        <f>IF(Tabela_do_wyboru_nst[[#This Row],[ects.bezposr.nauczyciel]],Tabela_do_wyboru_nst[[#This Row],[ects.bezposr.nauczyciel]]/Tabela_do_wyboru_nst[[#This Row],[ects.razem]],0)</f>
        <v>0</v>
      </c>
      <c r="AW83" s="207"/>
    </row>
    <row r="84" spans="1:49" s="102" customFormat="1" ht="17.25" hidden="1" x14ac:dyDescent="0.3">
      <c r="A84" s="258"/>
      <c r="B84" s="333" t="str">
        <f>IF(Tabela_do_wyboru[[#This Row],[kod.isced]]&lt;&gt;"",Tabela_do_wyboru[[#This Row],[kod.isced]],"")</f>
        <v/>
      </c>
      <c r="C84" s="193" t="str">
        <f>IF(Tabela_do_wyboru[[#This Row],[kod.dziedziny]]&lt;&gt;"",Tabela_do_wyboru[[#This Row],[kod.dziedziny]],"")</f>
        <v/>
      </c>
      <c r="D84" s="193" t="str">
        <f>IF(Tabela_do_wyboru[[#This Row],[Modul]]&lt;&gt;"",Tabela_do_wyboru[[#This Row],[Modul]],"")</f>
        <v/>
      </c>
      <c r="E84" s="193" t="str">
        <f>IF(Tabela_do_wyboru[[#This Row],[Umiej.prakt.]]&lt;&gt;"",Tabela_do_wyboru[[#This Row],[Umiej.prakt.]],"")</f>
        <v/>
      </c>
      <c r="F84" s="308" t="str">
        <f>IF(Tabela_do_wyboru[[#This Row],[Nazwa przedmiotu]]&lt;&gt;"",Tabela_do_wyboru[[#This Row],[Nazwa przedmiotu]],"")</f>
        <v/>
      </c>
      <c r="G84" s="309" t="str">
        <f>IF(Tabela_do_wyboru[[#This Row],[Prowadzacy]]&lt;&gt;"",Tabela_do_wyboru[[#This Row],[Prowadzacy]],"")</f>
        <v/>
      </c>
      <c r="H84" s="155" t="str">
        <f>IF(Tabela_do_wyboru[[#This Row],[Forma]]&lt;&gt;"",Tabela_do_wyboru[[#This Row],[Forma]],"")</f>
        <v/>
      </c>
      <c r="I84" s="156" t="str">
        <f>IF(Tabela_do_wyboru[[#This Row],[czy.ects]]&lt;&gt;"",Tabela_do_wyboru[[#This Row],[czy.ects]],"")</f>
        <v/>
      </c>
      <c r="J84" s="356" t="str">
        <f>IF(Tabela_do_wyboru[[#This Row],[sem1.godziny]]&lt;&gt;"",IF(Tabela_do_wyboru[[#This Row],[sem1.godziny]]&gt;14,Tabela_do_wyboru[[#This Row],[sem1.godziny]]*0.6,Tabela_do_wyboru[[#This Row],[sem1.godziny]]),"")</f>
        <v/>
      </c>
      <c r="K84" s="356" t="str" cm="1">
        <f t="array" ref="K84">IF(Tabela_do_wyboru_nst[[#This Row],[czy.ects]]="TAK",_xlfn.IFS(AND(Tabela_do_wyboru_nst[[#This Row],[sem1.godziny]]&gt;=$Q$195,Tabela_do_wyboru_nst[[#This Row],[sem1.forma]]="z"),8,AND(Tabela_do_wyboru_nst[[#This Row],[sem1.godziny]]&gt;=$I$195,Tabela_do_wyboru_nst[[#This Row],[sem1.forma]]="z"),4,AND(Tabela_do_wyboru_nst[[#This Row],[sem1.godziny]]&gt;=$H$195,Tabela_do_wyboru_nst[[#This Row],[sem1.forma]]="e"),2,AND(Tabela_do_wyboru_nst[[#This Row],[sem1.godziny]]&lt;$H$195,Tabela_do_wyboru_nst[[#This Row],[sem1.forma]]="e"),1,AND(Tabela_do_wyboru_nst[[#This Row],[sem1.godziny]]&gt;=$H$195,Tabela_do_wyboru_nst[[#This Row],[sem1.forma]]="z"),2,AND(Tabela_do_wyboru_nst[[#This Row],[sem1.godziny]]&lt;$H$195,Tabela_do_wyboru_nst[[#This Row],[sem1.forma]]="z"),1,TRUE,""),"")</f>
        <v/>
      </c>
      <c r="L84" s="356" t="str">
        <f>IF(Tabela_do_wyboru[[#This Row],[sem1.forma]]&lt;&gt;"",Tabela_do_wyboru[[#This Row],[sem1.forma]],"")</f>
        <v/>
      </c>
      <c r="M84" s="357" t="str">
        <f>IF(Tabela_do_wyboru[[#This Row],[sem2.godziny]]&lt;&gt;"",IF(Tabela_do_wyboru[[#This Row],[sem2.godziny]]&gt;14,Tabela_do_wyboru[[#This Row],[sem2.godziny]]*0.6,Tabela_do_wyboru[[#This Row],[sem2.godziny]]),"")</f>
        <v/>
      </c>
      <c r="N84" s="357" t="str" cm="1">
        <f t="array" ref="N84">IF(Tabela_do_wyboru_nst[[#This Row],[czy.ects]]="TAK",_xlfn.IFS(AND(Tabela_do_wyboru_nst[[#This Row],[sem2.godziny]]&gt;=$Q$195,Tabela_do_wyboru_nst[[#This Row],[sem2.forma]]="z"),8,AND(Tabela_do_wyboru_nst[[#This Row],[sem2.godziny]]&gt;=$I$195,Tabela_do_wyboru_nst[[#This Row],[sem2.forma]]="z"),4,AND(Tabela_do_wyboru_nst[[#This Row],[sem2.godziny]]&gt;=$H$195,Tabela_do_wyboru_nst[[#This Row],[sem2.forma]]="e"),2,AND(Tabela_do_wyboru_nst[[#This Row],[sem2.godziny]]&lt;$H$195,Tabela_do_wyboru_nst[[#This Row],[sem2.forma]]="e"),1,AND(Tabela_do_wyboru_nst[[#This Row],[sem2.godziny]]&gt;=$H$195,Tabela_do_wyboru_nst[[#This Row],[sem2.forma]]="z"),2,AND(Tabela_do_wyboru_nst[[#This Row],[sem2.godziny]]&lt;$H$195,Tabela_do_wyboru_nst[[#This Row],[sem2.forma]]="z"),1,TRUE,""),"")</f>
        <v/>
      </c>
      <c r="O84" s="357" t="str">
        <f>IF(Tabela_do_wyboru[[#This Row],[sem2.forma]]&lt;&gt;"",Tabela_do_wyboru[[#This Row],[sem2.forma]],"")</f>
        <v/>
      </c>
      <c r="P84" s="358" t="str">
        <f>IF(Tabela_do_wyboru[[#This Row],[sem3.godziny]]&lt;&gt;"",IF(Tabela_do_wyboru[[#This Row],[sem3.godziny]]&gt;14,Tabela_do_wyboru[[#This Row],[sem3.godziny]]*0.6,Tabela_do_wyboru[[#This Row],[sem3.godziny]]),"")</f>
        <v/>
      </c>
      <c r="Q84" s="359" t="str" cm="1">
        <f t="array" ref="Q84">IF(Tabela_do_wyboru_nst[[#This Row],[czy.ects]]="TAK",_xlfn.IFS(AND(Tabela_do_wyboru_nst[[#This Row],[sem3.godziny]]&gt;=$Q$195,Tabela_do_wyboru_nst[[#This Row],[sem3.forma]]="z"),8,AND(Tabela_do_wyboru_nst[[#This Row],[sem3.godziny]]&gt;=$I$195,Tabela_do_wyboru_nst[[#This Row],[sem3.forma]]="z"),4,AND(Tabela_do_wyboru_nst[[#This Row],[sem3.godziny]]&gt;=$H$195,Tabela_do_wyboru_nst[[#This Row],[sem3.forma]]="e"),2,AND(Tabela_do_wyboru_nst[[#This Row],[sem3.godziny]]&lt;$H$195,Tabela_do_wyboru_nst[[#This Row],[sem3.forma]]="e"),1,AND(Tabela_do_wyboru_nst[[#This Row],[sem3.godziny]]&gt;=$H$195,Tabela_do_wyboru_nst[[#This Row],[sem3.forma]]="z"),2,AND(Tabela_do_wyboru_nst[[#This Row],[sem3.godziny]]&lt;$H$195,Tabela_do_wyboru_nst[[#This Row],[sem3.forma]]="z"),1,TRUE,""),"")</f>
        <v/>
      </c>
      <c r="R84" s="358" t="str">
        <f>IF(Tabela_do_wyboru[[#This Row],[sem3.forma]]&lt;&gt;"",Tabela_do_wyboru[[#This Row],[sem3.forma]],"")</f>
        <v/>
      </c>
      <c r="S84" s="355" t="str">
        <f>IF(Tabela_do_wyboru[[#This Row],[sem4.godziny]]&lt;&gt;"",IF(Tabela_do_wyboru[[#This Row],[sem4.godziny]]&gt;14,Tabela_do_wyboru[[#This Row],[sem4.godziny]]*0.6,Tabela_do_wyboru[[#This Row],[sem4.godziny]]),"")</f>
        <v/>
      </c>
      <c r="T84" s="355" t="str" cm="1">
        <f t="array" ref="T84">IF(Tabela_do_wyboru_nst[[#This Row],[czy.ects]]="TAK",_xlfn.IFS(AND(Tabela_do_wyboru_nst[[#This Row],[sem4.godziny]]&gt;=$Q$195,Tabela_do_wyboru_nst[[#This Row],[sem4.forma]]="z"),8,AND(Tabela_do_wyboru_nst[[#This Row],[sem4.godziny]]&gt;=$I$195,Tabela_do_wyboru_nst[[#This Row],[sem4.forma]]="z"),4,AND(Tabela_do_wyboru_nst[[#This Row],[sem4.godziny]]&gt;=$H$195,Tabela_do_wyboru_nst[[#This Row],[sem4.forma]]="e"),2,AND(Tabela_do_wyboru_nst[[#This Row],[sem4.godziny]]&lt;$H$195,Tabela_do_wyboru_nst[[#This Row],[sem4.forma]]="e"),1,AND(Tabela_do_wyboru_nst[[#This Row],[sem4.godziny]]&gt;=$H$195,Tabela_do_wyboru_nst[[#This Row],[sem4.forma]]="z"),2,AND(Tabela_do_wyboru_nst[[#This Row],[sem4.godziny]]&lt;$H$195,Tabela_do_wyboru_nst[[#This Row],[sem4.forma]]="z"),1,TRUE,""),"")</f>
        <v/>
      </c>
      <c r="U84" s="355" t="str">
        <f>IF(Tabela_do_wyboru[[#This Row],[sem4.forma]]&lt;&gt;"",Tabela_do_wyboru[[#This Row],[sem4.forma]],"")</f>
        <v/>
      </c>
      <c r="V84" s="180" t="str">
        <f>IF(Tabela_do_wyboru[[#This Row],[sem5.godziny]]&lt;&gt;"",IF(Tabela_do_wyboru[[#This Row],[sem5.godziny]]&gt;14,Tabela_do_wyboru[[#This Row],[sem5.godziny]]*0.6,Tabela_do_wyboru[[#This Row],[sem5.godziny]]),"")</f>
        <v/>
      </c>
      <c r="W84" s="180" t="str" cm="1">
        <f t="array" ref="W84">IF(Tabela_do_wyboru_nst[[#This Row],[czy.ects]]="TAK",_xlfn.IFS(AND(Tabela_do_wyboru_nst[[#This Row],[sem5.godziny]]&gt;=$Q$195,Tabela_do_wyboru_nst[[#This Row],[sem5.forma]]="z"),8,AND(Tabela_do_wyboru_nst[[#This Row],[sem5.godziny]]&gt;=$I$195,Tabela_do_wyboru_nst[[#This Row],[sem5.forma]]="z"),4,AND(Tabela_do_wyboru_nst[[#This Row],[sem5.godziny]]&gt;=$H$195,Tabela_do_wyboru_nst[[#This Row],[sem5.forma]]="e"),2,AND(Tabela_do_wyboru_nst[[#This Row],[sem5.godziny]]&lt;$H$195,Tabela_do_wyboru_nst[[#This Row],[sem5.forma]]="e"),1,AND(Tabela_do_wyboru_nst[[#This Row],[sem5.godziny]]&gt;=$H$195,Tabela_do_wyboru_nst[[#This Row],[sem5.forma]]="z"),2,AND(Tabela_do_wyboru_nst[[#This Row],[sem5.godziny]]&lt;$H$195,Tabela_do_wyboru_nst[[#This Row],[sem5.forma]]="z"),1,TRUE,""),"")</f>
        <v/>
      </c>
      <c r="X84" s="180" t="str">
        <f>IF(Tabela_do_wyboru[[#This Row],[sem5.forma]]&lt;&gt;"",Tabela_do_wyboru[[#This Row],[sem5.forma]],"")</f>
        <v/>
      </c>
      <c r="Y84" s="181" t="str">
        <f>IF(Tabela_do_wyboru[[#This Row],[sem6.godziny]]&lt;&gt;"",IF(Tabela_do_wyboru[[#This Row],[sem6.godziny]]&gt;14,Tabela_do_wyboru[[#This Row],[sem6.godziny]]*0.6,Tabela_do_wyboru[[#This Row],[sem6.godziny]]),"")</f>
        <v/>
      </c>
      <c r="Z84" s="181" t="str" cm="1">
        <f t="array" ref="Z84">IF(Tabela_do_wyboru_nst[[#This Row],[czy.ects]]="TAK",_xlfn.IFS(AND(Tabela_do_wyboru_nst[[#This Row],[sem6.godziny]]&gt;=$Q$195,Tabela_do_wyboru_nst[[#This Row],[sem6.forma]]="z"),8,AND(Tabela_do_wyboru_nst[[#This Row],[sem6.godziny]]&gt;=$I$195,Tabela_do_wyboru_nst[[#This Row],[sem6.forma]]="z"),4,AND(Tabela_do_wyboru_nst[[#This Row],[sem6.godziny]]&gt;=$H$195,Tabela_do_wyboru_nst[[#This Row],[sem6.forma]]="e"),2,AND(Tabela_do_wyboru_nst[[#This Row],[sem6.godziny]]&lt;$H$195,Tabela_do_wyboru_nst[[#This Row],[sem6.forma]]="e"),1,AND(Tabela_do_wyboru_nst[[#This Row],[sem6.godziny]]&gt;=$H$195,Tabela_do_wyboru_nst[[#This Row],[sem6.forma]]="z"),2,AND(Tabela_do_wyboru_nst[[#This Row],[sem6.godziny]]&lt;$H$195,Tabela_do_wyboru_nst[[#This Row],[sem6.forma]]="z"),1,TRUE,""),"")</f>
        <v/>
      </c>
      <c r="AA84" s="181" t="str">
        <f>IF(Tabela_do_wyboru[[#This Row],[sem6.forma]]&lt;&gt;"",Tabela_do_wyboru[[#This Row],[sem6.forma]],"")</f>
        <v/>
      </c>
      <c r="AB84" s="182" t="str">
        <f>IF(Tabela_do_wyboru[[#This Row],[sem7.godziny]]&lt;&gt;"",IF(Tabela_do_wyboru[[#This Row],[sem7.godziny]]&gt;14,Tabela_do_wyboru[[#This Row],[sem7.godziny]]*0.6,Tabela_do_wyboru[[#This Row],[sem7.godziny]]),"")</f>
        <v/>
      </c>
      <c r="AC84" s="182" t="str" cm="1">
        <f t="array" ref="AC84">IF(Tabela_do_wyboru_nst[[#This Row],[czy.ects]]="TAK",_xlfn.IFS(AND(Tabela_do_wyboru_nst[[#This Row],[sem7.godziny]]&gt;=$Q$195,Tabela_do_wyboru_nst[[#This Row],[sem7.forma]]="z"),8,AND(Tabela_do_wyboru_nst[[#This Row],[sem7.godziny]]&gt;=$I$195,Tabela_do_wyboru_nst[[#This Row],[sem7.forma]]="z"),4,AND(Tabela_do_wyboru_nst[[#This Row],[sem7.godziny]]&gt;=$H$195,Tabela_do_wyboru_nst[[#This Row],[sem7.forma]]="e"),2,AND(Tabela_do_wyboru_nst[[#This Row],[sem7.godziny]]&lt;$H$195,Tabela_do_wyboru_nst[[#This Row],[sem7.forma]]="e"),1,AND(Tabela_do_wyboru_nst[[#This Row],[sem7.godziny]]&gt;=$H$195,Tabela_do_wyboru_nst[[#This Row],[sem7.forma]]="z"),2,AND(Tabela_do_wyboru_nst[[#This Row],[sem7.godziny]]&lt;$H$195,Tabela_do_wyboru_nst[[#This Row],[sem7.forma]]="z"),1,TRUE,""),"")</f>
        <v/>
      </c>
      <c r="AD84" s="182" t="str">
        <f>IF(Tabela_do_wyboru[[#This Row],[sem7.forma]]&lt;&gt;"",Tabela_do_wyboru[[#This Row],[sem7.forma]],"")</f>
        <v/>
      </c>
      <c r="AE84" s="183" t="str">
        <f>IF(Tabela_do_wyboru[[#This Row],[sem8.godziny]]&lt;&gt;"",IF(Tabela_do_wyboru[[#This Row],[sem8.godziny]]&gt;14,Tabela_do_wyboru[[#This Row],[sem8.godziny]]*0.6,Tabela_do_wyboru[[#This Row],[sem8.godziny]]),"")</f>
        <v/>
      </c>
      <c r="AF84" s="183" t="str" cm="1">
        <f t="array" ref="AF84">IF(Tabela_do_wyboru_nst[[#This Row],[czy.ects]]="TAK",_xlfn.IFS(AND(Tabela_do_wyboru_nst[[#This Row],[sem8.godziny]]&gt;=$Q$195,Tabela_do_wyboru_nst[[#This Row],[sem8.forma]]="z"),8,AND(Tabela_do_wyboru_nst[[#This Row],[sem8.godziny]]&gt;=$I$195,Tabela_do_wyboru_nst[[#This Row],[sem8.forma]]="z"),4,AND(Tabela_do_wyboru_nst[[#This Row],[sem8.godziny]]&gt;=$H$195,Tabela_do_wyboru_nst[[#This Row],[sem8.forma]]="e"),2,AND(Tabela_do_wyboru_nst[[#This Row],[sem8.godziny]]&lt;$H$195,Tabela_do_wyboru_nst[[#This Row],[sem8.forma]]="e"),1,AND(Tabela_do_wyboru_nst[[#This Row],[sem8.godziny]]&gt;=$H$195,Tabela_do_wyboru_nst[[#This Row],[sem8.forma]]="z"),2,AND(Tabela_do_wyboru_nst[[#This Row],[sem8.godziny]]&lt;$H$195,Tabela_do_wyboru_nst[[#This Row],[sem8.forma]]="z"),1,TRUE,""),"")</f>
        <v/>
      </c>
      <c r="AG84" s="183" t="str">
        <f>IF(Tabela_do_wyboru[[#This Row],[sem8.forma]]&lt;&gt;"",Tabela_do_wyboru[[#This Row],[sem8.forma]],"")</f>
        <v/>
      </c>
      <c r="AH84" s="184" t="str">
        <f>IF(Tabela_do_wyboru[[#This Row],[sem9.godziny]]&lt;&gt;"",IF(Tabela_do_wyboru[[#This Row],[sem9.godziny]]&gt;14,Tabela_do_wyboru[[#This Row],[sem9.godziny]]*0.6,Tabela_do_wyboru[[#This Row],[sem9.godziny]]),"")</f>
        <v/>
      </c>
      <c r="AI84" s="184" t="str" cm="1">
        <f t="array" ref="AI84">IF(Tabela_do_wyboru_nst[[#This Row],[czy.ects]]="TAK",_xlfn.IFS(AND(Tabela_do_wyboru_nst[[#This Row],[sem9.godziny]]&gt;=$Q$195,Tabela_do_wyboru_nst[[#This Row],[sem9.forma]]="z"),8,AND(Tabela_do_wyboru_nst[[#This Row],[sem9.godziny]]&gt;=$I$195,Tabela_do_wyboru_nst[[#This Row],[sem9.forma]]="z"),4,AND(Tabela_do_wyboru_nst[[#This Row],[sem9.godziny]]&gt;=$H$195,Tabela_do_wyboru_nst[[#This Row],[sem9.forma]]="e"),2,AND(Tabela_do_wyboru_nst[[#This Row],[sem9.godziny]]&lt;$H$195,Tabela_do_wyboru_nst[[#This Row],[sem9.forma]]="e"),1,AND(Tabela_do_wyboru_nst[[#This Row],[sem9.godziny]]&gt;=$H$195,Tabela_do_wyboru_nst[[#This Row],[sem9.forma]]="z"),2,AND(Tabela_do_wyboru_nst[[#This Row],[sem9.godziny]]&lt;$H$195,Tabela_do_wyboru_nst[[#This Row],[sem9.forma]]="z"),1,TRUE,""),"")</f>
        <v/>
      </c>
      <c r="AJ84" s="184" t="str">
        <f>IF(Tabela_do_wyboru[[#This Row],[sem9.forma]]&lt;&gt;"",Tabela_do_wyboru[[#This Row],[sem9.forma]],"")</f>
        <v/>
      </c>
      <c r="AK84" s="185" t="str">
        <f>IF(Tabela_do_wyboru[[#This Row],[sem10.godziny]]&lt;&gt;"",IF(Tabela_do_wyboru[[#This Row],[sem10.godziny]]&gt;14,Tabela_do_wyboru[[#This Row],[sem10.godziny]]*0.6,Tabela_do_wyboru[[#This Row],[sem10.godziny]]),"")</f>
        <v/>
      </c>
      <c r="AL84" s="185" t="str" cm="1">
        <f t="array" ref="AL84">IF(Tabela_do_wyboru_nst[[#This Row],[czy.ects]]="TAK",_xlfn.IFS(AND(Tabela_do_wyboru_nst[[#This Row],[sem10.godziny]]&gt;=$Q$195,Tabela_do_wyboru_nst[[#This Row],[sem10.forma]]="z"),8,AND(Tabela_do_wyboru_nst[[#This Row],[sem10.godziny]]&gt;=$I$195,Tabela_do_wyboru_nst[[#This Row],[sem10.forma]]="z"),4,AND(Tabela_do_wyboru_nst[[#This Row],[sem10.godziny]]&gt;=$H$195,Tabela_do_wyboru_nst[[#This Row],[sem10.forma]]="e"),2,AND(Tabela_do_wyboru_nst[[#This Row],[sem10.godziny]]&lt;$H$195,Tabela_do_wyboru_nst[[#This Row],[sem10.forma]]="e"),1,AND(Tabela_do_wyboru_nst[[#This Row],[sem10.godziny]]&gt;=$H$195,Tabela_do_wyboru_nst[[#This Row],[sem10.forma]]="z"),2,AND(Tabela_do_wyboru_nst[[#This Row],[sem10.godziny]]&lt;$H$195,Tabela_do_wyboru_nst[[#This Row],[sem10.forma]]="z"),1,TRUE,""),"")</f>
        <v/>
      </c>
      <c r="AM84" s="185" t="str">
        <f>IF(Tabela_do_wyboru[[#This Row],[sem10.forma]]&lt;&gt;"",Tabela_do_wyboru[[#This Row],[sem10.forma]],"")</f>
        <v/>
      </c>
      <c r="AN84" s="186">
        <f>SUM(Tabela_do_wyboru_nst[[#This Row],[sem1.ects]],Tabela_do_wyboru_nst[[#This Row],[sem2.ects]],Tabela_do_wyboru_nst[[#This Row],[sem3.ects]],Tabela_do_wyboru_nst[[#This Row],[sem4.ects]],Tabela_do_wyboru_nst[[#This Row],[sem5.ects]],Tabela_do_wyboru_nst[[#This Row],[sem6.ects]],Tabela_do_wyboru_nst[[#This Row],[sem7.ects]],Tabela_do_wyboru_nst[[#This Row],[sem8.ects]],Tabela_do_wyboru_nst[[#This Row],[sem9.ects]],Tabela_do_wyboru_nst[[#This Row],[sem10.ects]])</f>
        <v>0</v>
      </c>
      <c r="AO84" s="187">
        <f>IF(ISERR(SEARCH("UP",Tabela_do_wyboru_nst[[#This Row],[Umiej.prakt.]],1)),0,Tabela_do_wyboru_nst[[#This Row],[ects.razem]])</f>
        <v>0</v>
      </c>
      <c r="AP84" s="188">
        <f>IF(Tabela_do_wyboru_nst[[#This Row],[czy.ects]]="TAK",ROUND((SUM(Tabela_do_wyboru_nst[[#This Row],[godziny.konsultacja]],Tabela_do_wyboru_nst[[#This Row],[godziny.egzamin]],Tabela_do_wyboru_nst[[#This Row],[godziny.zajec.razem]])/25)/0.5,0)*0.5,0)</f>
        <v>0</v>
      </c>
      <c r="AQ84" s="310">
        <f>SUM(Tabela_do_wyboru_nst[[#This Row],[godziny.samoksztalcenie]],Tabela_do_wyboru_nst[[#This Row],[godziny.konsultacja]],Tabela_do_wyboru_nst[[#This Row],[godziny.egzamin]],Tabela_do_wyboru_nst[[#This Row],[godziny.zajec.razem]])</f>
        <v>0</v>
      </c>
      <c r="AR84" s="311">
        <f>Tabela_do_wyboru[[#This Row],[godziny.samoksztalcenie]]+(Tabela_do_wyboru[[#This Row],[godziny.zajec.razem]]-Tabela_do_wyboru_nst[[#This Row],[godziny.zajec.razem]])</f>
        <v>0</v>
      </c>
      <c r="AS84" s="189">
        <f>Tabela_do_wyboru[[#This Row],[godziny.konsultacja]]</f>
        <v>0</v>
      </c>
      <c r="AT84" s="179">
        <f>Tabela_do_wyboru[[#This Row],[godziny.egzamin]]</f>
        <v>0</v>
      </c>
      <c r="AU84" s="190">
        <f>SUM(Tabela_do_wyboru_nst[[#This Row],[sem1.godziny]],Tabela_do_wyboru_nst[[#This Row],[sem2.godziny]],Tabela_do_wyboru_nst[[#This Row],[sem3.godziny]],Tabela_do_wyboru_nst[[#This Row],[sem4.godziny]],Tabela_do_wyboru_nst[[#This Row],[sem5.godziny]],Tabela_do_wyboru_nst[[#This Row],[sem6.godziny]],Tabela_do_wyboru_nst[[#This Row],[sem7.godziny]],Tabela_do_wyboru_nst[[#This Row],[sem8.godziny]],Tabela_do_wyboru_nst[[#This Row],[sem9.godziny]],Tabela_do_wyboru_nst[[#This Row],[sem10.godziny]])</f>
        <v>0</v>
      </c>
      <c r="AV84" s="334">
        <f>IF(Tabela_do_wyboru_nst[[#This Row],[ects.bezposr.nauczyciel]],Tabela_do_wyboru_nst[[#This Row],[ects.bezposr.nauczyciel]]/Tabela_do_wyboru_nst[[#This Row],[ects.razem]],0)</f>
        <v>0</v>
      </c>
      <c r="AW84" s="258"/>
    </row>
    <row r="85" spans="1:49" s="102" customFormat="1" ht="25.5" hidden="1" customHeight="1" x14ac:dyDescent="0.3">
      <c r="A85" s="258"/>
      <c r="B85" s="333" t="str">
        <f>IF(Tabela_do_wyboru[[#This Row],[kod.isced]]&lt;&gt;"",Tabela_do_wyboru[[#This Row],[kod.isced]],"")</f>
        <v/>
      </c>
      <c r="C85" s="193" t="str">
        <f>IF(Tabela_do_wyboru[[#This Row],[kod.dziedziny]]&lt;&gt;"",Tabela_do_wyboru[[#This Row],[kod.dziedziny]],"")</f>
        <v/>
      </c>
      <c r="D85" s="193" t="str">
        <f>IF(Tabela_do_wyboru[[#This Row],[Modul]]&lt;&gt;"",Tabela_do_wyboru[[#This Row],[Modul]],"")</f>
        <v/>
      </c>
      <c r="E85" s="193" t="str">
        <f>IF(Tabela_do_wyboru[[#This Row],[Umiej.prakt.]]&lt;&gt;"",Tabela_do_wyboru[[#This Row],[Umiej.prakt.]],"")</f>
        <v/>
      </c>
      <c r="F85" s="308" t="str">
        <f>IF(Tabela_do_wyboru[[#This Row],[Nazwa przedmiotu]]&lt;&gt;"",Tabela_do_wyboru[[#This Row],[Nazwa przedmiotu]],"")</f>
        <v/>
      </c>
      <c r="G85" s="309" t="str">
        <f>IF(Tabela_do_wyboru[[#This Row],[Prowadzacy]]&lt;&gt;"",Tabela_do_wyboru[[#This Row],[Prowadzacy]],"")</f>
        <v/>
      </c>
      <c r="H85" s="155" t="str">
        <f>IF(Tabela_do_wyboru[[#This Row],[Forma]]&lt;&gt;"",Tabela_do_wyboru[[#This Row],[Forma]],"")</f>
        <v/>
      </c>
      <c r="I85" s="156" t="str">
        <f>IF(Tabela_do_wyboru[[#This Row],[czy.ects]]&lt;&gt;"",Tabela_do_wyboru[[#This Row],[czy.ects]],"")</f>
        <v/>
      </c>
      <c r="J85" s="356" t="str">
        <f>IF(Tabela_do_wyboru[[#This Row],[sem1.godziny]]&lt;&gt;"",IF(Tabela_do_wyboru[[#This Row],[sem1.godziny]]&gt;14,Tabela_do_wyboru[[#This Row],[sem1.godziny]]*0.6,Tabela_do_wyboru[[#This Row],[sem1.godziny]]),"")</f>
        <v/>
      </c>
      <c r="K85" s="356" t="str" cm="1">
        <f t="array" ref="K85">IF(Tabela_do_wyboru_nst[[#This Row],[czy.ects]]="TAK",_xlfn.IFS(AND(Tabela_do_wyboru_nst[[#This Row],[sem1.godziny]]&gt;=$Q$195,Tabela_do_wyboru_nst[[#This Row],[sem1.forma]]="z"),8,AND(Tabela_do_wyboru_nst[[#This Row],[sem1.godziny]]&gt;=$I$195,Tabela_do_wyboru_nst[[#This Row],[sem1.forma]]="z"),4,AND(Tabela_do_wyboru_nst[[#This Row],[sem1.godziny]]&gt;=$H$195,Tabela_do_wyboru_nst[[#This Row],[sem1.forma]]="e"),2,AND(Tabela_do_wyboru_nst[[#This Row],[sem1.godziny]]&lt;$H$195,Tabela_do_wyboru_nst[[#This Row],[sem1.forma]]="e"),1,AND(Tabela_do_wyboru_nst[[#This Row],[sem1.godziny]]&gt;=$H$195,Tabela_do_wyboru_nst[[#This Row],[sem1.forma]]="z"),2,AND(Tabela_do_wyboru_nst[[#This Row],[sem1.godziny]]&lt;$H$195,Tabela_do_wyboru_nst[[#This Row],[sem1.forma]]="z"),1,TRUE,""),"")</f>
        <v/>
      </c>
      <c r="L85" s="356" t="str">
        <f>IF(Tabela_do_wyboru[[#This Row],[sem1.forma]]&lt;&gt;"",Tabela_do_wyboru[[#This Row],[sem1.forma]],"")</f>
        <v/>
      </c>
      <c r="M85" s="357" t="str">
        <f>IF(Tabela_do_wyboru[[#This Row],[sem2.godziny]]&lt;&gt;"",IF(Tabela_do_wyboru[[#This Row],[sem2.godziny]]&gt;14,Tabela_do_wyboru[[#This Row],[sem2.godziny]]*0.6,Tabela_do_wyboru[[#This Row],[sem2.godziny]]),"")</f>
        <v/>
      </c>
      <c r="N85" s="357" t="str" cm="1">
        <f t="array" ref="N85">IF(Tabela_do_wyboru_nst[[#This Row],[czy.ects]]="TAK",_xlfn.IFS(AND(Tabela_do_wyboru_nst[[#This Row],[sem2.godziny]]&gt;=$Q$195,Tabela_do_wyboru_nst[[#This Row],[sem2.forma]]="z"),8,AND(Tabela_do_wyboru_nst[[#This Row],[sem2.godziny]]&gt;=$I$195,Tabela_do_wyboru_nst[[#This Row],[sem2.forma]]="z"),4,AND(Tabela_do_wyboru_nst[[#This Row],[sem2.godziny]]&gt;=$H$195,Tabela_do_wyboru_nst[[#This Row],[sem2.forma]]="e"),2,AND(Tabela_do_wyboru_nst[[#This Row],[sem2.godziny]]&lt;$H$195,Tabela_do_wyboru_nst[[#This Row],[sem2.forma]]="e"),1,AND(Tabela_do_wyboru_nst[[#This Row],[sem2.godziny]]&gt;=$H$195,Tabela_do_wyboru_nst[[#This Row],[sem2.forma]]="z"),2,AND(Tabela_do_wyboru_nst[[#This Row],[sem2.godziny]]&lt;$H$195,Tabela_do_wyboru_nst[[#This Row],[sem2.forma]]="z"),1,TRUE,""),"")</f>
        <v/>
      </c>
      <c r="O85" s="357" t="str">
        <f>IF(Tabela_do_wyboru[[#This Row],[sem2.forma]]&lt;&gt;"",Tabela_do_wyboru[[#This Row],[sem2.forma]],"")</f>
        <v/>
      </c>
      <c r="P85" s="358" t="str">
        <f>IF(Tabela_do_wyboru[[#This Row],[sem3.godziny]]&lt;&gt;"",IF(Tabela_do_wyboru[[#This Row],[sem3.godziny]]&gt;14,Tabela_do_wyboru[[#This Row],[sem3.godziny]]*0.6,Tabela_do_wyboru[[#This Row],[sem3.godziny]]),"")</f>
        <v/>
      </c>
      <c r="Q85" s="359" t="str" cm="1">
        <f t="array" ref="Q85">IF(Tabela_do_wyboru_nst[[#This Row],[czy.ects]]="TAK",_xlfn.IFS(AND(Tabela_do_wyboru_nst[[#This Row],[sem3.godziny]]&gt;=$Q$195,Tabela_do_wyboru_nst[[#This Row],[sem3.forma]]="z"),8,AND(Tabela_do_wyboru_nst[[#This Row],[sem3.godziny]]&gt;=$I$195,Tabela_do_wyboru_nst[[#This Row],[sem3.forma]]="z"),4,AND(Tabela_do_wyboru_nst[[#This Row],[sem3.godziny]]&gt;=$H$195,Tabela_do_wyboru_nst[[#This Row],[sem3.forma]]="e"),2,AND(Tabela_do_wyboru_nst[[#This Row],[sem3.godziny]]&lt;$H$195,Tabela_do_wyboru_nst[[#This Row],[sem3.forma]]="e"),1,AND(Tabela_do_wyboru_nst[[#This Row],[sem3.godziny]]&gt;=$H$195,Tabela_do_wyboru_nst[[#This Row],[sem3.forma]]="z"),2,AND(Tabela_do_wyboru_nst[[#This Row],[sem3.godziny]]&lt;$H$195,Tabela_do_wyboru_nst[[#This Row],[sem3.forma]]="z"),1,TRUE,""),"")</f>
        <v/>
      </c>
      <c r="R85" s="358" t="str">
        <f>IF(Tabela_do_wyboru[[#This Row],[sem3.forma]]&lt;&gt;"",Tabela_do_wyboru[[#This Row],[sem3.forma]],"")</f>
        <v/>
      </c>
      <c r="S85" s="355" t="str">
        <f>IF(Tabela_do_wyboru[[#This Row],[sem4.godziny]]&lt;&gt;"",IF(Tabela_do_wyboru[[#This Row],[sem4.godziny]]&gt;14,Tabela_do_wyboru[[#This Row],[sem4.godziny]]*0.6,Tabela_do_wyboru[[#This Row],[sem4.godziny]]),"")</f>
        <v/>
      </c>
      <c r="T85" s="355" t="str" cm="1">
        <f t="array" ref="T85">IF(Tabela_do_wyboru_nst[[#This Row],[czy.ects]]="TAK",_xlfn.IFS(AND(Tabela_do_wyboru_nst[[#This Row],[sem4.godziny]]&gt;=$Q$195,Tabela_do_wyboru_nst[[#This Row],[sem4.forma]]="z"),8,AND(Tabela_do_wyboru_nst[[#This Row],[sem4.godziny]]&gt;=$I$195,Tabela_do_wyboru_nst[[#This Row],[sem4.forma]]="z"),4,AND(Tabela_do_wyboru_nst[[#This Row],[sem4.godziny]]&gt;=$H$195,Tabela_do_wyboru_nst[[#This Row],[sem4.forma]]="e"),2,AND(Tabela_do_wyboru_nst[[#This Row],[sem4.godziny]]&lt;$H$195,Tabela_do_wyboru_nst[[#This Row],[sem4.forma]]="e"),1,AND(Tabela_do_wyboru_nst[[#This Row],[sem4.godziny]]&gt;=$H$195,Tabela_do_wyboru_nst[[#This Row],[sem4.forma]]="z"),2,AND(Tabela_do_wyboru_nst[[#This Row],[sem4.godziny]]&lt;$H$195,Tabela_do_wyboru_nst[[#This Row],[sem4.forma]]="z"),1,TRUE,""),"")</f>
        <v/>
      </c>
      <c r="U85" s="355" t="str">
        <f>IF(Tabela_do_wyboru[[#This Row],[sem4.forma]]&lt;&gt;"",Tabela_do_wyboru[[#This Row],[sem4.forma]],"")</f>
        <v/>
      </c>
      <c r="V85" s="180" t="str">
        <f>IF(Tabela_do_wyboru[[#This Row],[sem5.godziny]]&lt;&gt;"",IF(Tabela_do_wyboru[[#This Row],[sem5.godziny]]&gt;14,Tabela_do_wyboru[[#This Row],[sem5.godziny]]*0.6,Tabela_do_wyboru[[#This Row],[sem5.godziny]]),"")</f>
        <v/>
      </c>
      <c r="W85" s="180" t="str" cm="1">
        <f t="array" ref="W85">IF(Tabela_do_wyboru_nst[[#This Row],[czy.ects]]="TAK",_xlfn.IFS(AND(Tabela_do_wyboru_nst[[#This Row],[sem5.godziny]]&gt;=$Q$195,Tabela_do_wyboru_nst[[#This Row],[sem5.forma]]="z"),8,AND(Tabela_do_wyboru_nst[[#This Row],[sem5.godziny]]&gt;=$I$195,Tabela_do_wyboru_nst[[#This Row],[sem5.forma]]="z"),4,AND(Tabela_do_wyboru_nst[[#This Row],[sem5.godziny]]&gt;=$H$195,Tabela_do_wyboru_nst[[#This Row],[sem5.forma]]="e"),2,AND(Tabela_do_wyboru_nst[[#This Row],[sem5.godziny]]&lt;$H$195,Tabela_do_wyboru_nst[[#This Row],[sem5.forma]]="e"),1,AND(Tabela_do_wyboru_nst[[#This Row],[sem5.godziny]]&gt;=$H$195,Tabela_do_wyboru_nst[[#This Row],[sem5.forma]]="z"),2,AND(Tabela_do_wyboru_nst[[#This Row],[sem5.godziny]]&lt;$H$195,Tabela_do_wyboru_nst[[#This Row],[sem5.forma]]="z"),1,TRUE,""),"")</f>
        <v/>
      </c>
      <c r="X85" s="180" t="str">
        <f>IF(Tabela_do_wyboru[[#This Row],[sem5.forma]]&lt;&gt;"",Tabela_do_wyboru[[#This Row],[sem5.forma]],"")</f>
        <v/>
      </c>
      <c r="Y85" s="181" t="str">
        <f>IF(Tabela_do_wyboru[[#This Row],[sem6.godziny]]&lt;&gt;"",IF(Tabela_do_wyboru[[#This Row],[sem6.godziny]]&gt;14,Tabela_do_wyboru[[#This Row],[sem6.godziny]]*0.6,Tabela_do_wyboru[[#This Row],[sem6.godziny]]),"")</f>
        <v/>
      </c>
      <c r="Z85" s="181" t="str" cm="1">
        <f t="array" ref="Z85">IF(Tabela_do_wyboru_nst[[#This Row],[czy.ects]]="TAK",_xlfn.IFS(AND(Tabela_do_wyboru_nst[[#This Row],[sem6.godziny]]&gt;=$Q$195,Tabela_do_wyboru_nst[[#This Row],[sem6.forma]]="z"),8,AND(Tabela_do_wyboru_nst[[#This Row],[sem6.godziny]]&gt;=$I$195,Tabela_do_wyboru_nst[[#This Row],[sem6.forma]]="z"),4,AND(Tabela_do_wyboru_nst[[#This Row],[sem6.godziny]]&gt;=$H$195,Tabela_do_wyboru_nst[[#This Row],[sem6.forma]]="e"),2,AND(Tabela_do_wyboru_nst[[#This Row],[sem6.godziny]]&lt;$H$195,Tabela_do_wyboru_nst[[#This Row],[sem6.forma]]="e"),1,AND(Tabela_do_wyboru_nst[[#This Row],[sem6.godziny]]&gt;=$H$195,Tabela_do_wyboru_nst[[#This Row],[sem6.forma]]="z"),2,AND(Tabela_do_wyboru_nst[[#This Row],[sem6.godziny]]&lt;$H$195,Tabela_do_wyboru_nst[[#This Row],[sem6.forma]]="z"),1,TRUE,""),"")</f>
        <v/>
      </c>
      <c r="AA85" s="181" t="str">
        <f>IF(Tabela_do_wyboru[[#This Row],[sem6.forma]]&lt;&gt;"",Tabela_do_wyboru[[#This Row],[sem6.forma]],"")</f>
        <v/>
      </c>
      <c r="AB85" s="182" t="str">
        <f>IF(Tabela_do_wyboru[[#This Row],[sem7.godziny]]&lt;&gt;"",IF(Tabela_do_wyboru[[#This Row],[sem7.godziny]]&gt;14,Tabela_do_wyboru[[#This Row],[sem7.godziny]]*0.6,Tabela_do_wyboru[[#This Row],[sem7.godziny]]),"")</f>
        <v/>
      </c>
      <c r="AC85" s="182" t="str" cm="1">
        <f t="array" ref="AC85">IF(Tabela_do_wyboru_nst[[#This Row],[czy.ects]]="TAK",_xlfn.IFS(AND(Tabela_do_wyboru_nst[[#This Row],[sem7.godziny]]&gt;=$Q$195,Tabela_do_wyboru_nst[[#This Row],[sem7.forma]]="z"),8,AND(Tabela_do_wyboru_nst[[#This Row],[sem7.godziny]]&gt;=$I$195,Tabela_do_wyboru_nst[[#This Row],[sem7.forma]]="z"),4,AND(Tabela_do_wyboru_nst[[#This Row],[sem7.godziny]]&gt;=$H$195,Tabela_do_wyboru_nst[[#This Row],[sem7.forma]]="e"),2,AND(Tabela_do_wyboru_nst[[#This Row],[sem7.godziny]]&lt;$H$195,Tabela_do_wyboru_nst[[#This Row],[sem7.forma]]="e"),1,AND(Tabela_do_wyboru_nst[[#This Row],[sem7.godziny]]&gt;=$H$195,Tabela_do_wyboru_nst[[#This Row],[sem7.forma]]="z"),2,AND(Tabela_do_wyboru_nst[[#This Row],[sem7.godziny]]&lt;$H$195,Tabela_do_wyboru_nst[[#This Row],[sem7.forma]]="z"),1,TRUE,""),"")</f>
        <v/>
      </c>
      <c r="AD85" s="182" t="str">
        <f>IF(Tabela_do_wyboru[[#This Row],[sem7.forma]]&lt;&gt;"",Tabela_do_wyboru[[#This Row],[sem7.forma]],"")</f>
        <v/>
      </c>
      <c r="AE85" s="183" t="str">
        <f>IF(Tabela_do_wyboru[[#This Row],[sem8.godziny]]&lt;&gt;"",IF(Tabela_do_wyboru[[#This Row],[sem8.godziny]]&gt;14,Tabela_do_wyboru[[#This Row],[sem8.godziny]]*0.6,Tabela_do_wyboru[[#This Row],[sem8.godziny]]),"")</f>
        <v/>
      </c>
      <c r="AF85" s="183" t="str" cm="1">
        <f t="array" ref="AF85">IF(Tabela_do_wyboru_nst[[#This Row],[czy.ects]]="TAK",_xlfn.IFS(AND(Tabela_do_wyboru_nst[[#This Row],[sem8.godziny]]&gt;=$Q$195,Tabela_do_wyboru_nst[[#This Row],[sem8.forma]]="z"),8,AND(Tabela_do_wyboru_nst[[#This Row],[sem8.godziny]]&gt;=$I$195,Tabela_do_wyboru_nst[[#This Row],[sem8.forma]]="z"),4,AND(Tabela_do_wyboru_nst[[#This Row],[sem8.godziny]]&gt;=$H$195,Tabela_do_wyboru_nst[[#This Row],[sem8.forma]]="e"),2,AND(Tabela_do_wyboru_nst[[#This Row],[sem8.godziny]]&lt;$H$195,Tabela_do_wyboru_nst[[#This Row],[sem8.forma]]="e"),1,AND(Tabela_do_wyboru_nst[[#This Row],[sem8.godziny]]&gt;=$H$195,Tabela_do_wyboru_nst[[#This Row],[sem8.forma]]="z"),2,AND(Tabela_do_wyboru_nst[[#This Row],[sem8.godziny]]&lt;$H$195,Tabela_do_wyboru_nst[[#This Row],[sem8.forma]]="z"),1,TRUE,""),"")</f>
        <v/>
      </c>
      <c r="AG85" s="183" t="str">
        <f>IF(Tabela_do_wyboru[[#This Row],[sem8.forma]]&lt;&gt;"",Tabela_do_wyboru[[#This Row],[sem8.forma]],"")</f>
        <v/>
      </c>
      <c r="AH85" s="184" t="str">
        <f>IF(Tabela_do_wyboru[[#This Row],[sem9.godziny]]&lt;&gt;"",IF(Tabela_do_wyboru[[#This Row],[sem9.godziny]]&gt;14,Tabela_do_wyboru[[#This Row],[sem9.godziny]]*0.6,Tabela_do_wyboru[[#This Row],[sem9.godziny]]),"")</f>
        <v/>
      </c>
      <c r="AI85" s="184" t="str" cm="1">
        <f t="array" ref="AI85">IF(Tabela_do_wyboru_nst[[#This Row],[czy.ects]]="TAK",_xlfn.IFS(AND(Tabela_do_wyboru_nst[[#This Row],[sem9.godziny]]&gt;=$Q$195,Tabela_do_wyboru_nst[[#This Row],[sem9.forma]]="z"),8,AND(Tabela_do_wyboru_nst[[#This Row],[sem9.godziny]]&gt;=$I$195,Tabela_do_wyboru_nst[[#This Row],[sem9.forma]]="z"),4,AND(Tabela_do_wyboru_nst[[#This Row],[sem9.godziny]]&gt;=$H$195,Tabela_do_wyboru_nst[[#This Row],[sem9.forma]]="e"),2,AND(Tabela_do_wyboru_nst[[#This Row],[sem9.godziny]]&lt;$H$195,Tabela_do_wyboru_nst[[#This Row],[sem9.forma]]="e"),1,AND(Tabela_do_wyboru_nst[[#This Row],[sem9.godziny]]&gt;=$H$195,Tabela_do_wyboru_nst[[#This Row],[sem9.forma]]="z"),2,AND(Tabela_do_wyboru_nst[[#This Row],[sem9.godziny]]&lt;$H$195,Tabela_do_wyboru_nst[[#This Row],[sem9.forma]]="z"),1,TRUE,""),"")</f>
        <v/>
      </c>
      <c r="AJ85" s="184" t="str">
        <f>IF(Tabela_do_wyboru[[#This Row],[sem9.forma]]&lt;&gt;"",Tabela_do_wyboru[[#This Row],[sem9.forma]],"")</f>
        <v/>
      </c>
      <c r="AK85" s="185" t="str">
        <f>IF(Tabela_do_wyboru[[#This Row],[sem10.godziny]]&lt;&gt;"",IF(Tabela_do_wyboru[[#This Row],[sem10.godziny]]&gt;14,Tabela_do_wyboru[[#This Row],[sem10.godziny]]*0.6,Tabela_do_wyboru[[#This Row],[sem10.godziny]]),"")</f>
        <v/>
      </c>
      <c r="AL85" s="185" t="str" cm="1">
        <f t="array" ref="AL85">IF(Tabela_do_wyboru_nst[[#This Row],[czy.ects]]="TAK",_xlfn.IFS(AND(Tabela_do_wyboru_nst[[#This Row],[sem10.godziny]]&gt;=$Q$195,Tabela_do_wyboru_nst[[#This Row],[sem10.forma]]="z"),8,AND(Tabela_do_wyboru_nst[[#This Row],[sem10.godziny]]&gt;=$I$195,Tabela_do_wyboru_nst[[#This Row],[sem10.forma]]="z"),4,AND(Tabela_do_wyboru_nst[[#This Row],[sem10.godziny]]&gt;=$H$195,Tabela_do_wyboru_nst[[#This Row],[sem10.forma]]="e"),2,AND(Tabela_do_wyboru_nst[[#This Row],[sem10.godziny]]&lt;$H$195,Tabela_do_wyboru_nst[[#This Row],[sem10.forma]]="e"),1,AND(Tabela_do_wyboru_nst[[#This Row],[sem10.godziny]]&gt;=$H$195,Tabela_do_wyboru_nst[[#This Row],[sem10.forma]]="z"),2,AND(Tabela_do_wyboru_nst[[#This Row],[sem10.godziny]]&lt;$H$195,Tabela_do_wyboru_nst[[#This Row],[sem10.forma]]="z"),1,TRUE,""),"")</f>
        <v/>
      </c>
      <c r="AM85" s="185" t="str">
        <f>IF(Tabela_do_wyboru[[#This Row],[sem10.forma]]&lt;&gt;"",Tabela_do_wyboru[[#This Row],[sem10.forma]],"")</f>
        <v/>
      </c>
      <c r="AN85" s="186">
        <f>SUM(Tabela_do_wyboru_nst[[#This Row],[sem1.ects]],Tabela_do_wyboru_nst[[#This Row],[sem2.ects]],Tabela_do_wyboru_nst[[#This Row],[sem3.ects]],Tabela_do_wyboru_nst[[#This Row],[sem4.ects]],Tabela_do_wyboru_nst[[#This Row],[sem5.ects]],Tabela_do_wyboru_nst[[#This Row],[sem6.ects]],Tabela_do_wyboru_nst[[#This Row],[sem7.ects]],Tabela_do_wyboru_nst[[#This Row],[sem8.ects]],Tabela_do_wyboru_nst[[#This Row],[sem9.ects]],Tabela_do_wyboru_nst[[#This Row],[sem10.ects]])</f>
        <v>0</v>
      </c>
      <c r="AO85" s="187">
        <f>IF(ISERR(SEARCH("UP",Tabela_do_wyboru_nst[[#This Row],[Umiej.prakt.]],1)),0,Tabela_do_wyboru_nst[[#This Row],[ects.razem]])</f>
        <v>0</v>
      </c>
      <c r="AP85" s="188">
        <f>IF(Tabela_do_wyboru_nst[[#This Row],[czy.ects]]="TAK",ROUND((SUM(Tabela_do_wyboru_nst[[#This Row],[godziny.konsultacja]],Tabela_do_wyboru_nst[[#This Row],[godziny.egzamin]],Tabela_do_wyboru_nst[[#This Row],[godziny.zajec.razem]])/25)/0.5,0)*0.5,0)</f>
        <v>0</v>
      </c>
      <c r="AQ85" s="310">
        <f>SUM(Tabela_do_wyboru_nst[[#This Row],[godziny.samoksztalcenie]],Tabela_do_wyboru_nst[[#This Row],[godziny.konsultacja]],Tabela_do_wyboru_nst[[#This Row],[godziny.egzamin]],Tabela_do_wyboru_nst[[#This Row],[godziny.zajec.razem]])</f>
        <v>0</v>
      </c>
      <c r="AR85" s="226">
        <f>Tabela_do_wyboru[[#This Row],[godziny.samoksztalcenie]]+(Tabela_do_wyboru[[#This Row],[godziny.zajec.razem]]-Tabela_do_wyboru_nst[[#This Row],[godziny.zajec.razem]])</f>
        <v>0</v>
      </c>
      <c r="AS85" s="189">
        <f>Tabela_do_wyboru[[#This Row],[godziny.konsultacja]]</f>
        <v>0</v>
      </c>
      <c r="AT85" s="228">
        <f>Tabela_do_wyboru[[#This Row],[godziny.egzamin]]</f>
        <v>0</v>
      </c>
      <c r="AU85" s="190">
        <f>SUM(Tabela_do_wyboru_nst[[#This Row],[sem1.godziny]],Tabela_do_wyboru_nst[[#This Row],[sem2.godziny]],Tabela_do_wyboru_nst[[#This Row],[sem3.godziny]],Tabela_do_wyboru_nst[[#This Row],[sem4.godziny]],Tabela_do_wyboru_nst[[#This Row],[sem5.godziny]],Tabela_do_wyboru_nst[[#This Row],[sem6.godziny]],Tabela_do_wyboru_nst[[#This Row],[sem7.godziny]],Tabela_do_wyboru_nst[[#This Row],[sem8.godziny]],Tabela_do_wyboru_nst[[#This Row],[sem9.godziny]],Tabela_do_wyboru_nst[[#This Row],[sem10.godziny]])</f>
        <v>0</v>
      </c>
      <c r="AV85" s="334">
        <f>IF(Tabela_do_wyboru_nst[[#This Row],[ects.bezposr.nauczyciel]],Tabela_do_wyboru_nst[[#This Row],[ects.bezposr.nauczyciel]]/Tabela_do_wyboru_nst[[#This Row],[ects.razem]],0)</f>
        <v>0</v>
      </c>
      <c r="AW85" s="258"/>
    </row>
    <row r="86" spans="1:49" ht="7.5" hidden="1" customHeight="1" thickBot="1" x14ac:dyDescent="0.35">
      <c r="A86" s="207"/>
      <c r="B86" s="191"/>
      <c r="C86" s="335"/>
      <c r="D86" s="192"/>
      <c r="E86" s="192"/>
      <c r="F86" s="336"/>
      <c r="G86" s="337"/>
      <c r="H86" s="338"/>
      <c r="I86" s="192"/>
      <c r="J86" s="339"/>
      <c r="K86" s="339"/>
      <c r="L86" s="340"/>
      <c r="M86" s="341"/>
      <c r="N86" s="342"/>
      <c r="O86" s="342"/>
      <c r="P86" s="342"/>
      <c r="Q86" s="343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0"/>
      <c r="AF86" s="340"/>
      <c r="AG86" s="340"/>
      <c r="AH86" s="342"/>
      <c r="AI86" s="340"/>
      <c r="AJ86" s="340"/>
      <c r="AK86" s="340"/>
      <c r="AL86" s="340"/>
      <c r="AM86" s="344"/>
      <c r="AN86" s="49"/>
      <c r="AO86" s="207"/>
      <c r="AP86" s="207"/>
      <c r="AQ86" s="207"/>
      <c r="AR86" s="207"/>
      <c r="AS86" s="207"/>
      <c r="AT86" s="207"/>
      <c r="AU86" s="207"/>
      <c r="AV86" s="207"/>
      <c r="AW86" s="207"/>
    </row>
    <row r="87" spans="1:49" ht="25.5" customHeight="1" thickBot="1" x14ac:dyDescent="0.35">
      <c r="A87" s="207"/>
      <c r="B87" s="784" t="str">
        <f>'PLAN ST'!B87</f>
        <v>RAZEM W GRUPIE SPECJALNOŚCI: Księgowość i podatki w przedsiębiorstwie</v>
      </c>
      <c r="C87" s="788"/>
      <c r="D87" s="788"/>
      <c r="E87" s="788"/>
      <c r="F87" s="788"/>
      <c r="G87" s="788"/>
      <c r="H87" s="788"/>
      <c r="I87" s="788"/>
      <c r="J87" s="247">
        <f>SUM(Tabela_SP1_nst[sem1.godziny])</f>
        <v>0</v>
      </c>
      <c r="K87" s="247">
        <f>SUM(Tabela_SP1_nst[sem1.ects])</f>
        <v>0</v>
      </c>
      <c r="L87" s="247"/>
      <c r="M87" s="247">
        <f>SUM(Tabela_SP1_nst[sem2.godziny])</f>
        <v>0</v>
      </c>
      <c r="N87" s="247">
        <f>SUM(Tabela_SP1_nst[sem2.ects])</f>
        <v>0</v>
      </c>
      <c r="O87" s="247"/>
      <c r="P87" s="247">
        <f>SUM(Tabela_SP1_nst[sem3.godziny])</f>
        <v>0</v>
      </c>
      <c r="Q87" s="247">
        <f>SUM(Tabela_SP1_nst[sem3.ects])</f>
        <v>0</v>
      </c>
      <c r="R87" s="247"/>
      <c r="S87" s="247">
        <f>SUM(Tabela_SP1_nst[sem4.godziny])</f>
        <v>260</v>
      </c>
      <c r="T87" s="247">
        <f>SUM(Tabela_SP1_nst[sem4.ects])</f>
        <v>15</v>
      </c>
      <c r="U87" s="247"/>
      <c r="V87" s="247">
        <f>SUM(Tabela_SP1_nst[sem5.godziny])</f>
        <v>287</v>
      </c>
      <c r="W87" s="247">
        <f>SUM(Tabela_SP1_nst[sem5.ects])</f>
        <v>20</v>
      </c>
      <c r="X87" s="247"/>
      <c r="Y87" s="247">
        <f>SUM(Tabela_SP1_nst[sem6.godziny])</f>
        <v>304</v>
      </c>
      <c r="Z87" s="247">
        <f>SUM(Tabela_SP1_nst[sem6.ects])</f>
        <v>21</v>
      </c>
      <c r="AA87" s="247"/>
      <c r="AB87" s="247">
        <f>SUM(Tabela_SP1_nst[sem7.godziny])</f>
        <v>0</v>
      </c>
      <c r="AC87" s="247">
        <f>SUM(Tabela_SP1_nst[sem7.ects])</f>
        <v>0</v>
      </c>
      <c r="AD87" s="247"/>
      <c r="AE87" s="247">
        <f>SUM(Tabela_SP1_nst[sem5.godziny])</f>
        <v>287</v>
      </c>
      <c r="AF87" s="247">
        <f>SUM(Tabela_SP1_nst[sem5.ects])</f>
        <v>20</v>
      </c>
      <c r="AG87" s="247"/>
      <c r="AH87" s="247">
        <f>SUM(Tabela_SP1_nst[sem6.godziny])</f>
        <v>304</v>
      </c>
      <c r="AI87" s="247">
        <f>SUM(Tabela_SP1_nst[sem6.ects])</f>
        <v>21</v>
      </c>
      <c r="AJ87" s="247"/>
      <c r="AK87" s="247">
        <f>SUM(Tabela_SP1_nst[sem7.godziny])</f>
        <v>0</v>
      </c>
      <c r="AL87" s="247">
        <f>SUM(Tabela_SP1_nst[sem7.ects])</f>
        <v>0</v>
      </c>
      <c r="AM87" s="247"/>
      <c r="AN87" s="247">
        <f>SUM(Tabela_SP1_nst[ects.razem])</f>
        <v>56</v>
      </c>
      <c r="AO87" s="247">
        <f>SUM(Tabela_SP1_nst[ects.umiej.prakt.])</f>
        <v>56</v>
      </c>
      <c r="AP87" s="247">
        <f>SUM(Tabela_SP1_nst[ects.bezposr.nauczyciel])</f>
        <v>38</v>
      </c>
      <c r="AQ87" s="247">
        <f>SUM(Tabela_SP1_nst[godziny.razem.student])</f>
        <v>1662</v>
      </c>
      <c r="AR87" s="247">
        <f>SUM(Tabela_SP1_nst[godziny.samoksztalcenie])</f>
        <v>683</v>
      </c>
      <c r="AS87" s="247">
        <f>SUM(Tabela_SP1_nst[godziny.konsultacja])</f>
        <v>96</v>
      </c>
      <c r="AT87" s="247">
        <f>SUM(Tabela_SP1_nst[godziny.egzamin])</f>
        <v>32</v>
      </c>
      <c r="AU87" s="247">
        <f>SUM(Tabela_SP1_nst[godziny.zajec.razem])</f>
        <v>851</v>
      </c>
      <c r="AV87" s="6"/>
      <c r="AW87" s="49"/>
    </row>
    <row r="88" spans="1:49" ht="25.5" hidden="1" customHeight="1" x14ac:dyDescent="0.3">
      <c r="A88" s="207"/>
      <c r="B88" s="152" t="s">
        <v>374</v>
      </c>
      <c r="C88" s="328" t="s">
        <v>373</v>
      </c>
      <c r="D88" s="148" t="s">
        <v>372</v>
      </c>
      <c r="E88" s="196" t="s">
        <v>371</v>
      </c>
      <c r="F88" s="345" t="s">
        <v>368</v>
      </c>
      <c r="G88" s="330" t="s">
        <v>369</v>
      </c>
      <c r="H88" s="153" t="s">
        <v>370</v>
      </c>
      <c r="I88" s="154" t="s">
        <v>375</v>
      </c>
      <c r="J88" s="259" t="s">
        <v>376</v>
      </c>
      <c r="K88" s="259" t="s">
        <v>377</v>
      </c>
      <c r="L88" s="271" t="s">
        <v>378</v>
      </c>
      <c r="M88" s="260" t="s">
        <v>379</v>
      </c>
      <c r="N88" s="260" t="s">
        <v>380</v>
      </c>
      <c r="O88" s="260" t="s">
        <v>381</v>
      </c>
      <c r="P88" s="320" t="s">
        <v>382</v>
      </c>
      <c r="Q88" s="261" t="s">
        <v>383</v>
      </c>
      <c r="R88" s="320" t="s">
        <v>384</v>
      </c>
      <c r="S88" s="262" t="s">
        <v>385</v>
      </c>
      <c r="T88" s="262" t="s">
        <v>386</v>
      </c>
      <c r="U88" s="262" t="s">
        <v>387</v>
      </c>
      <c r="V88" s="263" t="s">
        <v>388</v>
      </c>
      <c r="W88" s="263" t="s">
        <v>389</v>
      </c>
      <c r="X88" s="263" t="s">
        <v>390</v>
      </c>
      <c r="Y88" s="264" t="s">
        <v>391</v>
      </c>
      <c r="Z88" s="264" t="s">
        <v>392</v>
      </c>
      <c r="AA88" s="264" t="s">
        <v>393</v>
      </c>
      <c r="AB88" s="265" t="s">
        <v>394</v>
      </c>
      <c r="AC88" s="265" t="s">
        <v>395</v>
      </c>
      <c r="AD88" s="265" t="s">
        <v>396</v>
      </c>
      <c r="AE88" s="321" t="s">
        <v>409</v>
      </c>
      <c r="AF88" s="321" t="s">
        <v>410</v>
      </c>
      <c r="AG88" s="321" t="s">
        <v>411</v>
      </c>
      <c r="AH88" s="322" t="s">
        <v>412</v>
      </c>
      <c r="AI88" s="322" t="s">
        <v>413</v>
      </c>
      <c r="AJ88" s="322" t="s">
        <v>414</v>
      </c>
      <c r="AK88" s="323" t="s">
        <v>415</v>
      </c>
      <c r="AL88" s="323" t="s">
        <v>416</v>
      </c>
      <c r="AM88" s="323" t="s">
        <v>417</v>
      </c>
      <c r="AN88" s="324" t="s">
        <v>397</v>
      </c>
      <c r="AO88" s="266" t="s">
        <v>398</v>
      </c>
      <c r="AP88" s="267" t="s">
        <v>399</v>
      </c>
      <c r="AQ88" s="268" t="s">
        <v>400</v>
      </c>
      <c r="AR88" s="269" t="s">
        <v>401</v>
      </c>
      <c r="AS88" s="270" t="s">
        <v>402</v>
      </c>
      <c r="AT88" s="271" t="s">
        <v>403</v>
      </c>
      <c r="AU88" s="325" t="s">
        <v>404</v>
      </c>
      <c r="AV88" s="272" t="s">
        <v>405</v>
      </c>
      <c r="AW88" s="49"/>
    </row>
    <row r="89" spans="1:49" ht="25.5" customHeight="1" x14ac:dyDescent="0.3">
      <c r="A89" s="207"/>
      <c r="B89" s="331" t="str">
        <f>IF(Tabela_SP1[[#This Row],[kod.isced]]&lt;&gt;"",Tabela_SP1[[#This Row],[kod.isced]],"")</f>
        <v>0411</v>
      </c>
      <c r="C89" s="193" t="str">
        <f>IF(Tabela_SP1[[#This Row],[kod.dziedziny]]&lt;&gt;"",Tabela_SP1[[#This Row],[kod.dziedziny]],"")</f>
        <v>501</v>
      </c>
      <c r="D89" s="193" t="str">
        <f>IF(Tabela_SP1[[#This Row],[Modul]]&lt;&gt;"",Tabela_SP1[[#This Row],[Modul]],"")</f>
        <v>kip.01.1</v>
      </c>
      <c r="E89" s="193" t="str">
        <f>IF(Tabela_SP1[[#This Row],[Umiej.prakt.]]&lt;&gt;"",Tabela_SP1[[#This Row],[Umiej.prakt.]],"")</f>
        <v>up</v>
      </c>
      <c r="F89" s="327" t="str">
        <f>IF(Tabela_SP1[[#This Row],[Nazwa przedmiotu]]&lt;&gt;"",Tabela_SP1[[#This Row],[Nazwa przedmiotu]],"")</f>
        <v>Rachunkowość małych firm</v>
      </c>
      <c r="G89" s="309" t="str">
        <f>IF(Tabela_SP1[[#This Row],[Prowadzacy]]&lt;&gt;"",Tabela_SP1[[#This Row],[Prowadzacy]],"")</f>
        <v/>
      </c>
      <c r="H89" s="155" t="str">
        <f>IF(Tabela_SP1[[#This Row],[Forma]]&lt;&gt;"",Tabela_SP1[[#This Row],[Forma]],"")</f>
        <v>laboratoria</v>
      </c>
      <c r="I89" s="156" t="str">
        <f>IF(Tabela_SP1[[#This Row],[czy.ects]]&lt;&gt;"",Tabela_SP1[[#This Row],[czy.ects]],"")</f>
        <v>TAK</v>
      </c>
      <c r="J89" s="356" t="str" cm="1">
        <f t="array" ref="J89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89" s="356" t="str" cm="1">
        <f t="array" ref="K89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89" s="356" t="str">
        <f>IF(Tabela_SP1[[#This Row],[sem1.forma]]&lt;&gt;"",Tabela_SP1[[#This Row],[sem1.forma]],"")</f>
        <v/>
      </c>
      <c r="M89" s="357" t="str" cm="1">
        <f t="array" ref="M89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89" s="357" t="str" cm="1">
        <f t="array" ref="N89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89" s="357" t="str">
        <f>IF(Tabela_SP1[[#This Row],[sem2.forma]]&lt;&gt;"",Tabela_SP1[[#This Row],[sem2.forma]],"")</f>
        <v/>
      </c>
      <c r="P89" s="358" t="str" cm="1">
        <f t="array" ref="P89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89" s="359" t="str" cm="1">
        <f t="array" ref="Q89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89" s="358" t="str">
        <f>IF(Tabela_SP1[[#This Row],[sem3.forma]]&lt;&gt;"",Tabela_SP1[[#This Row],[sem3.forma]],"")</f>
        <v/>
      </c>
      <c r="S89" s="355" cm="1">
        <f t="array" ref="S89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>18</v>
      </c>
      <c r="T89" s="355">
        <v>3</v>
      </c>
      <c r="U89" s="355" t="str">
        <f>IF(Tabela_SP1[[#This Row],[sem4.forma]]&lt;&gt;"",Tabela_SP1[[#This Row],[sem4.forma]],"")</f>
        <v>z</v>
      </c>
      <c r="V89" s="216" t="str" cm="1">
        <f t="array" ref="V89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89" s="216" t="str" cm="1">
        <f t="array" ref="W89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89" s="216" t="str">
        <f>IF(Tabela_SP1[[#This Row],[sem5.forma]]&lt;&gt;"",Tabela_SP1[[#This Row],[sem5.forma]],"")</f>
        <v/>
      </c>
      <c r="Y89" s="217" t="str" cm="1">
        <f t="array" ref="Y89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/>
      </c>
      <c r="Z89" s="217" t="str" cm="1">
        <f t="array" ref="Z89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89" s="217" t="str">
        <f>IF(Tabela_SP1[[#This Row],[sem6.forma]]&lt;&gt;"",Tabela_SP1[[#This Row],[sem6.forma]],"")</f>
        <v/>
      </c>
      <c r="AB89" s="218" t="str" cm="1">
        <f t="array" ref="AB89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89" s="218" t="str" cm="1">
        <f t="array" ref="AC89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89" s="218" t="str">
        <f>IF(Tabela_SP1[[#This Row],[sem7.forma]]&lt;&gt;"",Tabela_SP1[[#This Row],[sem7.forma]],"")</f>
        <v/>
      </c>
      <c r="AE89" s="219" t="str" cm="1">
        <f t="array" ref="AE89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89" s="219" t="str" cm="1">
        <f t="array" ref="AF89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89" s="219" t="str">
        <f>IF(Tabela_SP1[[#This Row],[sem8.forma]]&lt;&gt;"",Tabela_SP1[[#This Row],[sem8.forma]],"")</f>
        <v/>
      </c>
      <c r="AH89" s="220" t="str" cm="1">
        <f t="array" ref="AH89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89" s="220" t="str" cm="1">
        <f t="array" ref="AI89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89" s="220" t="str">
        <f>IF(Tabela_SP1[[#This Row],[sem9.forma]]&lt;&gt;"",Tabela_SP1[[#This Row],[sem9.forma]],"")</f>
        <v/>
      </c>
      <c r="AK89" s="221" t="str" cm="1">
        <f t="array" ref="AK89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89" s="221" t="str" cm="1">
        <f t="array" ref="AL89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89" s="221" t="str">
        <f>IF(Tabela_SP1[[#This Row],[sem10.forma]]&lt;&gt;"",Tabela_SP1[[#This Row],[sem10.forma]],"")</f>
        <v/>
      </c>
      <c r="AN89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89" s="223">
        <f>IF(ISERR(SEARCH("UP",Tabela_SP1_nst[[#This Row],[Umiej.prakt.]],1)),0,Tabela_SP1_nst[[#This Row],[ects.razem]])</f>
        <v>3</v>
      </c>
      <c r="AP89" s="224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89" s="225">
        <f>SUM(Tabela_SP1_nst[[#This Row],[godziny.samoksztalcenie]],Tabela_SP1_nst[[#This Row],[godziny.konsultacja]],Tabela_SP1_nst[[#This Row],[godziny.egzamin]],Tabela_SP1_nst[[#This Row],[godziny.zajec.razem]])</f>
        <v>52</v>
      </c>
      <c r="AR89" s="226">
        <f>Tabela_SP1[[#This Row],[godziny.samoksztalcenie]]+(Tabela_SP1[[#This Row],[godziny.zajec.razem]]-Tabela_SP1_nst[[#This Row],[godziny.zajec.razem]])</f>
        <v>29</v>
      </c>
      <c r="AS89" s="227">
        <f>Tabela_SP1[[#This Row],[godziny.konsultacja]]</f>
        <v>3</v>
      </c>
      <c r="AT89" s="228">
        <f>Tabela_SP1[[#This Row],[godziny.egzamin]]</f>
        <v>2</v>
      </c>
      <c r="AU89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89" s="326">
        <f>IF(Tabela_SP1_nst[[#This Row],[ects.bezposr.nauczyciel]],Tabela_SP1_nst[[#This Row],[ects.bezposr.nauczyciel]]/Tabela_SP1_nst[[#This Row],[ects.razem]],0)</f>
        <v>0.33333333333333331</v>
      </c>
      <c r="AW89" s="49"/>
    </row>
    <row r="90" spans="1:49" ht="25.5" customHeight="1" x14ac:dyDescent="0.3">
      <c r="A90" s="207"/>
      <c r="B90" s="331" t="str">
        <f>IF(Tabela_SP1[[#This Row],[kod.isced]]&lt;&gt;"",Tabela_SP1[[#This Row],[kod.isced]],"")</f>
        <v>0411</v>
      </c>
      <c r="C90" s="193" t="str">
        <f>IF(Tabela_SP1[[#This Row],[kod.dziedziny]]&lt;&gt;"",Tabela_SP1[[#This Row],[kod.dziedziny]],"")</f>
        <v>501</v>
      </c>
      <c r="D90" s="193" t="str">
        <f>IF(Tabela_SP1[[#This Row],[Modul]]&lt;&gt;"",Tabela_SP1[[#This Row],[Modul]],"")</f>
        <v>kip.02.1</v>
      </c>
      <c r="E90" s="193" t="str">
        <f>IF(Tabela_SP1[[#This Row],[Umiej.prakt.]]&lt;&gt;"",Tabela_SP1[[#This Row],[Umiej.prakt.]],"")</f>
        <v>up</v>
      </c>
      <c r="F90" s="327" t="str">
        <f>IF(Tabela_SP1[[#This Row],[Nazwa przedmiotu]]&lt;&gt;"",Tabela_SP1[[#This Row],[Nazwa przedmiotu]],"")</f>
        <v>Podatki w przedsiębiorstwie</v>
      </c>
      <c r="G90" s="309" t="str">
        <f>IF(Tabela_SP1[[#This Row],[Prowadzacy]]&lt;&gt;"",Tabela_SP1[[#This Row],[Prowadzacy]],"")</f>
        <v/>
      </c>
      <c r="H90" s="155" t="str">
        <f>IF(Tabela_SP1[[#This Row],[Forma]]&lt;&gt;"",Tabela_SP1[[#This Row],[Forma]],"")</f>
        <v>konwersatorium</v>
      </c>
      <c r="I90" s="156" t="str">
        <f>IF(Tabela_SP1[[#This Row],[czy.ects]]&lt;&gt;"",Tabela_SP1[[#This Row],[czy.ects]],"")</f>
        <v>TAK</v>
      </c>
      <c r="J90" s="356" t="str" cm="1">
        <f t="array" ref="J90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0" s="356" t="str" cm="1">
        <f t="array" ref="K90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0" s="356" t="str">
        <f>IF(Tabela_SP1[[#This Row],[sem1.forma]]&lt;&gt;"",Tabela_SP1[[#This Row],[sem1.forma]],"")</f>
        <v/>
      </c>
      <c r="M90" s="357" t="str" cm="1">
        <f t="array" ref="M90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0" s="357" t="str" cm="1">
        <f t="array" ref="N90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0" s="357" t="str">
        <f>IF(Tabela_SP1[[#This Row],[sem2.forma]]&lt;&gt;"",Tabela_SP1[[#This Row],[sem2.forma]],"")</f>
        <v/>
      </c>
      <c r="P90" s="358" t="str" cm="1">
        <f t="array" ref="P90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0" s="359" t="str" cm="1">
        <f t="array" ref="Q90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0" s="358" t="str">
        <f>IF(Tabela_SP1[[#This Row],[sem3.forma]]&lt;&gt;"",Tabela_SP1[[#This Row],[sem3.forma]],"")</f>
        <v/>
      </c>
      <c r="S90" s="355" cm="1">
        <f t="array" ref="S90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>9</v>
      </c>
      <c r="T90" s="355" cm="1">
        <f t="array" ref="T90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>1</v>
      </c>
      <c r="U90" s="355" t="str">
        <f>IF(Tabela_SP1[[#This Row],[sem4.forma]]&lt;&gt;"",Tabela_SP1[[#This Row],[sem4.forma]],"")</f>
        <v>z</v>
      </c>
      <c r="V90" s="216" t="str" cm="1">
        <f t="array" ref="V90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90" s="216" t="str" cm="1">
        <f t="array" ref="W90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90" s="216" t="str">
        <f>IF(Tabela_SP1[[#This Row],[sem5.forma]]&lt;&gt;"",Tabela_SP1[[#This Row],[sem5.forma]],"")</f>
        <v/>
      </c>
      <c r="Y90" s="217" t="str" cm="1">
        <f t="array" ref="Y90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/>
      </c>
      <c r="Z90" s="217" t="str" cm="1">
        <f t="array" ref="Z90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90" s="217" t="str">
        <f>IF(Tabela_SP1[[#This Row],[sem6.forma]]&lt;&gt;"",Tabela_SP1[[#This Row],[sem6.forma]],"")</f>
        <v/>
      </c>
      <c r="AB90" s="218" t="str" cm="1">
        <f t="array" ref="AB90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0" s="218" t="str" cm="1">
        <f t="array" ref="AC90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0" s="218" t="str">
        <f>IF(Tabela_SP1[[#This Row],[sem7.forma]]&lt;&gt;"",Tabela_SP1[[#This Row],[sem7.forma]],"")</f>
        <v/>
      </c>
      <c r="AE90" s="219" t="str" cm="1">
        <f t="array" ref="AE90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0" s="219" t="str" cm="1">
        <f t="array" ref="AF90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0" s="219" t="str">
        <f>IF(Tabela_SP1[[#This Row],[sem8.forma]]&lt;&gt;"",Tabela_SP1[[#This Row],[sem8.forma]],"")</f>
        <v/>
      </c>
      <c r="AH90" s="220" t="str" cm="1">
        <f t="array" ref="AH90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0" s="220" t="str" cm="1">
        <f t="array" ref="AI90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0" s="220" t="str">
        <f>IF(Tabela_SP1[[#This Row],[sem9.forma]]&lt;&gt;"",Tabela_SP1[[#This Row],[sem9.forma]],"")</f>
        <v/>
      </c>
      <c r="AK90" s="221" t="str" cm="1">
        <f t="array" ref="AK90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0" s="221" t="str" cm="1">
        <f t="array" ref="AL90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0" s="221" t="str">
        <f>IF(Tabela_SP1[[#This Row],[sem10.forma]]&lt;&gt;"",Tabela_SP1[[#This Row],[sem10.forma]],"")</f>
        <v/>
      </c>
      <c r="AN90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1</v>
      </c>
      <c r="AO90" s="223">
        <f>IF(ISERR(SEARCH("UP",Tabela_SP1_nst[[#This Row],[Umiej.prakt.]],1)),0,Tabela_SP1_nst[[#This Row],[ects.razem]])</f>
        <v>1</v>
      </c>
      <c r="AP90" s="224">
        <f>IF(Tabela_SP1_nst[[#This Row],[czy.ects]]="TAK",ROUND((SUM(Tabela_SP1_nst[[#This Row],[godziny.konsultacja]],Tabela_SP1_nst[[#This Row],[godziny.egzamin]],Tabela_SP1_nst[[#This Row],[godziny.zajec.razem]])/25)/0.5,0)*0.5,0)</f>
        <v>0.5</v>
      </c>
      <c r="AQ90" s="225">
        <f>SUM(Tabela_SP1_nst[[#This Row],[godziny.samoksztalcenie]],Tabela_SP1_nst[[#This Row],[godziny.konsultacja]],Tabela_SP1_nst[[#This Row],[godziny.egzamin]],Tabela_SP1_nst[[#This Row],[godziny.zajec.razem]])</f>
        <v>27</v>
      </c>
      <c r="AR90" s="226">
        <f>Tabela_SP1[[#This Row],[godziny.samoksztalcenie]]+(Tabela_SP1[[#This Row],[godziny.zajec.razem]]-Tabela_SP1_nst[[#This Row],[godziny.zajec.razem]])</f>
        <v>15</v>
      </c>
      <c r="AS90" s="227">
        <f>Tabela_SP1[[#This Row],[godziny.konsultacja]]</f>
        <v>1</v>
      </c>
      <c r="AT90" s="228">
        <f>Tabela_SP1[[#This Row],[godziny.egzamin]]</f>
        <v>2</v>
      </c>
      <c r="AU90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9</v>
      </c>
      <c r="AV90" s="326">
        <f>IF(Tabela_SP1_nst[[#This Row],[ects.bezposr.nauczyciel]],Tabela_SP1_nst[[#This Row],[ects.bezposr.nauczyciel]]/Tabela_SP1_nst[[#This Row],[ects.razem]],0)</f>
        <v>0.5</v>
      </c>
      <c r="AW90" s="49"/>
    </row>
    <row r="91" spans="1:49" ht="25.5" customHeight="1" x14ac:dyDescent="0.3">
      <c r="A91" s="207"/>
      <c r="B91" s="331" t="str">
        <f>IF(Tabela_SP1[[#This Row],[kod.isced]]&lt;&gt;"",Tabela_SP1[[#This Row],[kod.isced]],"")</f>
        <v>0411</v>
      </c>
      <c r="C91" s="193" t="str">
        <f>IF(Tabela_SP1[[#This Row],[kod.dziedziny]]&lt;&gt;"",Tabela_SP1[[#This Row],[kod.dziedziny]],"")</f>
        <v>501</v>
      </c>
      <c r="D91" s="193" t="str">
        <f>IF(Tabela_SP1[[#This Row],[Modul]]&lt;&gt;"",Tabela_SP1[[#This Row],[Modul]],"")</f>
        <v>kip.02.2</v>
      </c>
      <c r="E91" s="193" t="str">
        <f>IF(Tabela_SP1[[#This Row],[Umiej.prakt.]]&lt;&gt;"",Tabela_SP1[[#This Row],[Umiej.prakt.]],"")</f>
        <v>up</v>
      </c>
      <c r="F91" s="327" t="str">
        <f>IF(Tabela_SP1[[#This Row],[Nazwa przedmiotu]]&lt;&gt;"",Tabela_SP1[[#This Row],[Nazwa przedmiotu]],"")</f>
        <v>Podatki w przedsiębiorstwie</v>
      </c>
      <c r="G91" s="309" t="str">
        <f>IF(Tabela_SP1[[#This Row],[Prowadzacy]]&lt;&gt;"",Tabela_SP1[[#This Row],[Prowadzacy]],"")</f>
        <v/>
      </c>
      <c r="H91" s="155" t="str">
        <f>IF(Tabela_SP1[[#This Row],[Forma]]&lt;&gt;"",Tabela_SP1[[#This Row],[Forma]],"")</f>
        <v>ćwiczenia</v>
      </c>
      <c r="I91" s="156" t="str">
        <f>IF(Tabela_SP1[[#This Row],[czy.ects]]&lt;&gt;"",Tabela_SP1[[#This Row],[czy.ects]],"")</f>
        <v>TAK</v>
      </c>
      <c r="J91" s="356" t="str" cm="1">
        <f t="array" ref="J91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1" s="356" t="str" cm="1">
        <f t="array" ref="K91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1" s="356" t="str">
        <f>IF(Tabela_SP1[[#This Row],[sem1.forma]]&lt;&gt;"",Tabela_SP1[[#This Row],[sem1.forma]],"")</f>
        <v/>
      </c>
      <c r="M91" s="357" t="str" cm="1">
        <f t="array" ref="M91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1" s="357" t="str" cm="1">
        <f t="array" ref="N91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1" s="357" t="str">
        <f>IF(Tabela_SP1[[#This Row],[sem2.forma]]&lt;&gt;"",Tabela_SP1[[#This Row],[sem2.forma]],"")</f>
        <v/>
      </c>
      <c r="P91" s="358" t="str" cm="1">
        <f t="array" ref="P91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1" s="359" t="str" cm="1">
        <f t="array" ref="Q91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1" s="358" t="str">
        <f>IF(Tabela_SP1[[#This Row],[sem3.forma]]&lt;&gt;"",Tabela_SP1[[#This Row],[sem3.forma]],"")</f>
        <v/>
      </c>
      <c r="S91" s="355" cm="1">
        <f t="array" ref="S91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>18</v>
      </c>
      <c r="T91" s="355">
        <v>3</v>
      </c>
      <c r="U91" s="355" t="str">
        <f>IF(Tabela_SP1[[#This Row],[sem4.forma]]&lt;&gt;"",Tabela_SP1[[#This Row],[sem4.forma]],"")</f>
        <v>z</v>
      </c>
      <c r="V91" s="216" t="str" cm="1">
        <f t="array" ref="V91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91" s="216" t="str" cm="1">
        <f t="array" ref="W91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91" s="216" t="str">
        <f>IF(Tabela_SP1[[#This Row],[sem5.forma]]&lt;&gt;"",Tabela_SP1[[#This Row],[sem5.forma]],"")</f>
        <v/>
      </c>
      <c r="Y91" s="217" t="str" cm="1">
        <f t="array" ref="Y91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/>
      </c>
      <c r="Z91" s="217" t="str" cm="1">
        <f t="array" ref="Z91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91" s="217" t="str">
        <f>IF(Tabela_SP1[[#This Row],[sem6.forma]]&lt;&gt;"",Tabela_SP1[[#This Row],[sem6.forma]],"")</f>
        <v/>
      </c>
      <c r="AB91" s="218" t="str" cm="1">
        <f t="array" ref="AB91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1" s="218" t="str" cm="1">
        <f t="array" ref="AC91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1" s="218" t="str">
        <f>IF(Tabela_SP1[[#This Row],[sem7.forma]]&lt;&gt;"",Tabela_SP1[[#This Row],[sem7.forma]],"")</f>
        <v/>
      </c>
      <c r="AE91" s="219" t="str" cm="1">
        <f t="array" ref="AE91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1" s="219" t="str" cm="1">
        <f t="array" ref="AF91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1" s="219" t="str">
        <f>IF(Tabela_SP1[[#This Row],[sem8.forma]]&lt;&gt;"",Tabela_SP1[[#This Row],[sem8.forma]],"")</f>
        <v/>
      </c>
      <c r="AH91" s="220" t="str" cm="1">
        <f t="array" ref="AH91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1" s="220" t="str" cm="1">
        <f t="array" ref="AI91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1" s="220" t="str">
        <f>IF(Tabela_SP1[[#This Row],[sem9.forma]]&lt;&gt;"",Tabela_SP1[[#This Row],[sem9.forma]],"")</f>
        <v/>
      </c>
      <c r="AK91" s="221" t="str" cm="1">
        <f t="array" ref="AK91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1" s="221" t="str" cm="1">
        <f t="array" ref="AL91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1" s="221" t="str">
        <f>IF(Tabela_SP1[[#This Row],[sem10.forma]]&lt;&gt;"",Tabela_SP1[[#This Row],[sem10.forma]],"")</f>
        <v/>
      </c>
      <c r="AN91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1" s="223">
        <f>IF(ISERR(SEARCH("UP",Tabela_SP1_nst[[#This Row],[Umiej.prakt.]],1)),0,Tabela_SP1_nst[[#This Row],[ects.razem]])</f>
        <v>3</v>
      </c>
      <c r="AP91" s="224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1" s="225">
        <f>SUM(Tabela_SP1_nst[[#This Row],[godziny.samoksztalcenie]],Tabela_SP1_nst[[#This Row],[godziny.konsultacja]],Tabela_SP1_nst[[#This Row],[godziny.egzamin]],Tabela_SP1_nst[[#This Row],[godziny.zajec.razem]])</f>
        <v>52</v>
      </c>
      <c r="AR91" s="226">
        <f>Tabela_SP1[[#This Row],[godziny.samoksztalcenie]]+(Tabela_SP1[[#This Row],[godziny.zajec.razem]]-Tabela_SP1_nst[[#This Row],[godziny.zajec.razem]])</f>
        <v>29</v>
      </c>
      <c r="AS91" s="227">
        <f>Tabela_SP1[[#This Row],[godziny.konsultacja]]</f>
        <v>3</v>
      </c>
      <c r="AT91" s="228">
        <f>Tabela_SP1[[#This Row],[godziny.egzamin]]</f>
        <v>2</v>
      </c>
      <c r="AU91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1" s="326">
        <f>IF(Tabela_SP1_nst[[#This Row],[ects.bezposr.nauczyciel]],Tabela_SP1_nst[[#This Row],[ects.bezposr.nauczyciel]]/Tabela_SP1_nst[[#This Row],[ects.razem]],0)</f>
        <v>0.33333333333333331</v>
      </c>
      <c r="AW91" s="49"/>
    </row>
    <row r="92" spans="1:49" ht="25.5" customHeight="1" x14ac:dyDescent="0.3">
      <c r="A92" s="207"/>
      <c r="B92" s="443" t="str">
        <f>IF(Tabela_SP1[[#This Row],[kod.isced]]&lt;&gt;"",Tabela_SP1[[#This Row],[kod.isced]],"")</f>
        <v>0411</v>
      </c>
      <c r="C92" s="437" t="str">
        <f>IF(Tabela_SP1[[#This Row],[kod.dziedziny]]&lt;&gt;"",Tabela_SP1[[#This Row],[kod.dziedziny]],"")</f>
        <v>501</v>
      </c>
      <c r="D92" s="437" t="str">
        <f>IF(Tabela_SP1[[#This Row],[Modul]]&lt;&gt;"",Tabela_SP1[[#This Row],[Modul]],"")</f>
        <v>kip.03.1</v>
      </c>
      <c r="E92" s="437" t="str">
        <f>IF(Tabela_SP1[[#This Row],[Umiej.prakt.]]&lt;&gt;"",Tabela_SP1[[#This Row],[Umiej.prakt.]],"")</f>
        <v>up</v>
      </c>
      <c r="F92" s="444" t="str">
        <f>IF(Tabela_SP1[[#This Row],[Nazwa przedmiotu]]&lt;&gt;"",Tabela_SP1[[#This Row],[Nazwa przedmiotu]],"")</f>
        <v>Organizacja rachunkowości</v>
      </c>
      <c r="G92" s="439" t="str">
        <f>IF(Tabela_SP1[[#This Row],[Prowadzacy]]&lt;&gt;"",Tabela_SP1[[#This Row],[Prowadzacy]],"")</f>
        <v/>
      </c>
      <c r="H92" s="440" t="str">
        <f>IF(Tabela_SP1[[#This Row],[Forma]]&lt;&gt;"",Tabela_SP1[[#This Row],[Forma]],"")</f>
        <v>konwersatorium</v>
      </c>
      <c r="I92" s="441" t="str">
        <f>IF(Tabela_SP1[[#This Row],[czy.ects]]&lt;&gt;"",Tabela_SP1[[#This Row],[czy.ects]],"")</f>
        <v>TAK</v>
      </c>
      <c r="J92" s="356" t="str" cm="1">
        <f t="array" ref="J92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2" s="356" t="str" cm="1">
        <f t="array" ref="K92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2" s="356" t="str">
        <f>IF(Tabela_SP1[[#This Row],[sem1.forma]]&lt;&gt;"",Tabela_SP1[[#This Row],[sem1.forma]],"")</f>
        <v/>
      </c>
      <c r="M92" s="357" t="str" cm="1">
        <f t="array" ref="M92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2" s="357" t="str" cm="1">
        <f t="array" ref="N92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2" s="357" t="str">
        <f>IF(Tabela_SP1[[#This Row],[sem2.forma]]&lt;&gt;"",Tabela_SP1[[#This Row],[sem2.forma]],"")</f>
        <v/>
      </c>
      <c r="P92" s="358" t="str" cm="1">
        <f t="array" ref="P92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2" s="359" t="str" cm="1">
        <f t="array" ref="Q92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2" s="358" t="str">
        <f>IF(Tabela_SP1[[#This Row],[sem3.forma]]&lt;&gt;"",Tabela_SP1[[#This Row],[sem3.forma]],"")</f>
        <v/>
      </c>
      <c r="S92" s="355" t="str" cm="1">
        <f t="array" ref="S92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2" s="355" t="str" cm="1">
        <f t="array" ref="T92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2" s="355" t="str">
        <f>IF(Tabela_SP1[[#This Row],[sem4.forma]]&lt;&gt;"",Tabela_SP1[[#This Row],[sem4.forma]],"")</f>
        <v/>
      </c>
      <c r="V92" s="216" cm="1">
        <f t="array" ref="V92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>18</v>
      </c>
      <c r="W92" s="216">
        <v>3</v>
      </c>
      <c r="X92" s="216" t="str">
        <f>IF(Tabela_SP1[[#This Row],[sem5.forma]]&lt;&gt;"",Tabela_SP1[[#This Row],[sem5.forma]],"")</f>
        <v>z</v>
      </c>
      <c r="Y92" s="217" t="str" cm="1">
        <f t="array" ref="Y92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/>
      </c>
      <c r="Z92" s="217" t="str" cm="1">
        <f t="array" ref="Z92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92" s="217" t="str">
        <f>IF(Tabela_SP1[[#This Row],[sem6.forma]]&lt;&gt;"",Tabela_SP1[[#This Row],[sem6.forma]],"")</f>
        <v/>
      </c>
      <c r="AB92" s="218" t="str" cm="1">
        <f t="array" ref="AB92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2" s="218" t="str" cm="1">
        <f t="array" ref="AC92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2" s="218" t="str">
        <f>IF(Tabela_SP1[[#This Row],[sem7.forma]]&lt;&gt;"",Tabela_SP1[[#This Row],[sem7.forma]],"")</f>
        <v/>
      </c>
      <c r="AE92" s="219" t="str" cm="1">
        <f t="array" ref="AE92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2" s="219" t="str" cm="1">
        <f t="array" ref="AF92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2" s="219" t="str">
        <f>IF(Tabela_SP1[[#This Row],[sem8.forma]]&lt;&gt;"",Tabela_SP1[[#This Row],[sem8.forma]],"")</f>
        <v/>
      </c>
      <c r="AH92" s="220" t="str" cm="1">
        <f t="array" ref="AH92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2" s="220" t="str" cm="1">
        <f t="array" ref="AI92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2" s="220" t="str">
        <f>IF(Tabela_SP1[[#This Row],[sem9.forma]]&lt;&gt;"",Tabela_SP1[[#This Row],[sem9.forma]],"")</f>
        <v/>
      </c>
      <c r="AK92" s="221" t="str" cm="1">
        <f t="array" ref="AK92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2" s="221" t="str" cm="1">
        <f t="array" ref="AL92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2" s="221" t="str">
        <f>IF(Tabela_SP1[[#This Row],[sem10.forma]]&lt;&gt;"",Tabela_SP1[[#This Row],[sem10.forma]],"")</f>
        <v/>
      </c>
      <c r="AN92" s="388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2" s="389">
        <f>IF(ISERR(SEARCH("UP",Tabela_SP1_nst[[#This Row],[Umiej.prakt.]],1)),0,Tabela_SP1_nst[[#This Row],[ects.razem]])</f>
        <v>3</v>
      </c>
      <c r="AP92" s="390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2" s="391">
        <f>SUM(Tabela_SP1_nst[[#This Row],[godziny.samoksztalcenie]],Tabela_SP1_nst[[#This Row],[godziny.konsultacja]],Tabela_SP1_nst[[#This Row],[godziny.egzamin]],Tabela_SP1_nst[[#This Row],[godziny.zajec.razem]])</f>
        <v>52</v>
      </c>
      <c r="AR92" s="392">
        <f>Tabela_SP1[[#This Row],[godziny.samoksztalcenie]]+(Tabela_SP1[[#This Row],[godziny.zajec.razem]]-Tabela_SP1_nst[[#This Row],[godziny.zajec.razem]])</f>
        <v>29</v>
      </c>
      <c r="AS92" s="393">
        <f>Tabela_SP1[[#This Row],[godziny.konsultacja]]</f>
        <v>3</v>
      </c>
      <c r="AT92" s="394">
        <f>Tabela_SP1[[#This Row],[godziny.egzamin]]</f>
        <v>2</v>
      </c>
      <c r="AU92" s="395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2" s="442">
        <f>IF(Tabela_SP1_nst[[#This Row],[ects.bezposr.nauczyciel]],Tabela_SP1_nst[[#This Row],[ects.bezposr.nauczyciel]]/Tabela_SP1_nst[[#This Row],[ects.razem]],0)</f>
        <v>0.33333333333333331</v>
      </c>
      <c r="AW92" s="49"/>
    </row>
    <row r="93" spans="1:49" ht="25.5" customHeight="1" x14ac:dyDescent="0.3">
      <c r="A93" s="207"/>
      <c r="B93" s="443" t="str">
        <f>IF(Tabela_SP1[[#This Row],[kod.isced]]&lt;&gt;"",Tabela_SP1[[#This Row],[kod.isced]],"")</f>
        <v>0411</v>
      </c>
      <c r="C93" s="437" t="str">
        <f>IF(Tabela_SP1[[#This Row],[kod.dziedziny]]&lt;&gt;"",Tabela_SP1[[#This Row],[kod.dziedziny]],"")</f>
        <v>501</v>
      </c>
      <c r="D93" s="437" t="str">
        <f>IF(Tabela_SP1[[#This Row],[Modul]]&lt;&gt;"",Tabela_SP1[[#This Row],[Modul]],"")</f>
        <v>kip.04.1</v>
      </c>
      <c r="E93" s="437" t="str">
        <f>IF(Tabela_SP1[[#This Row],[Umiej.prakt.]]&lt;&gt;"",Tabela_SP1[[#This Row],[Umiej.prakt.]],"")</f>
        <v>up</v>
      </c>
      <c r="F93" s="444" t="str">
        <f>IF(Tabela_SP1[[#This Row],[Nazwa przedmiotu]]&lt;&gt;"",Tabela_SP1[[#This Row],[Nazwa przedmiotu]],"")</f>
        <v>Rozliczenia podatkowe przedsiębiorcy</v>
      </c>
      <c r="G93" s="439" t="str">
        <f>IF(Tabela_SP1[[#This Row],[Prowadzacy]]&lt;&gt;"",Tabela_SP1[[#This Row],[Prowadzacy]],"")</f>
        <v/>
      </c>
      <c r="H93" s="440" t="str">
        <f>IF(Tabela_SP1[[#This Row],[Forma]]&lt;&gt;"",Tabela_SP1[[#This Row],[Forma]],"")</f>
        <v>konwersatorium</v>
      </c>
      <c r="I93" s="441" t="str">
        <f>IF(Tabela_SP1[[#This Row],[czy.ects]]&lt;&gt;"",Tabela_SP1[[#This Row],[czy.ects]],"")</f>
        <v>TAK</v>
      </c>
      <c r="J93" s="356" t="str" cm="1">
        <f t="array" ref="J93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3" s="356" t="str" cm="1">
        <f t="array" ref="K93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3" s="356" t="str">
        <f>IF(Tabela_SP1[[#This Row],[sem1.forma]]&lt;&gt;"",Tabela_SP1[[#This Row],[sem1.forma]],"")</f>
        <v/>
      </c>
      <c r="M93" s="357" t="str" cm="1">
        <f t="array" ref="M93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3" s="357" t="str" cm="1">
        <f t="array" ref="N93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3" s="357" t="str">
        <f>IF(Tabela_SP1[[#This Row],[sem2.forma]]&lt;&gt;"",Tabela_SP1[[#This Row],[sem2.forma]],"")</f>
        <v/>
      </c>
      <c r="P93" s="358" t="str" cm="1">
        <f t="array" ref="P93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3" s="359" t="str" cm="1">
        <f t="array" ref="Q93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3" s="358" t="str">
        <f>IF(Tabela_SP1[[#This Row],[sem3.forma]]&lt;&gt;"",Tabela_SP1[[#This Row],[sem3.forma]],"")</f>
        <v/>
      </c>
      <c r="S93" s="355" t="str" cm="1">
        <f t="array" ref="S93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3" s="355" t="str" cm="1">
        <f t="array" ref="T93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3" s="355" t="str">
        <f>IF(Tabela_SP1[[#This Row],[sem4.forma]]&lt;&gt;"",Tabela_SP1[[#This Row],[sem4.forma]],"")</f>
        <v/>
      </c>
      <c r="V93" s="216" cm="1">
        <f t="array" ref="V93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>18</v>
      </c>
      <c r="W93" s="216">
        <v>3</v>
      </c>
      <c r="X93" s="216" t="str">
        <f>IF(Tabela_SP1[[#This Row],[sem5.forma]]&lt;&gt;"",Tabela_SP1[[#This Row],[sem5.forma]],"")</f>
        <v>z</v>
      </c>
      <c r="Y93" s="217" t="str" cm="1">
        <f t="array" ref="Y93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/>
      </c>
      <c r="Z93" s="217" t="str" cm="1">
        <f t="array" ref="Z93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93" s="217" t="str">
        <f>IF(Tabela_SP1[[#This Row],[sem6.forma]]&lt;&gt;"",Tabela_SP1[[#This Row],[sem6.forma]],"")</f>
        <v/>
      </c>
      <c r="AB93" s="218" t="str" cm="1">
        <f t="array" ref="AB93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3" s="218" t="str" cm="1">
        <f t="array" ref="AC93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3" s="218" t="str">
        <f>IF(Tabela_SP1[[#This Row],[sem7.forma]]&lt;&gt;"",Tabela_SP1[[#This Row],[sem7.forma]],"")</f>
        <v/>
      </c>
      <c r="AE93" s="219" t="str" cm="1">
        <f t="array" ref="AE93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3" s="219" t="str" cm="1">
        <f t="array" ref="AF93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3" s="219" t="str">
        <f>IF(Tabela_SP1[[#This Row],[sem8.forma]]&lt;&gt;"",Tabela_SP1[[#This Row],[sem8.forma]],"")</f>
        <v/>
      </c>
      <c r="AH93" s="220" t="str" cm="1">
        <f t="array" ref="AH93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3" s="220" t="str" cm="1">
        <f t="array" ref="AI93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3" s="220" t="str">
        <f>IF(Tabela_SP1[[#This Row],[sem9.forma]]&lt;&gt;"",Tabela_SP1[[#This Row],[sem9.forma]],"")</f>
        <v/>
      </c>
      <c r="AK93" s="221" t="str" cm="1">
        <f t="array" ref="AK93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3" s="221" t="str" cm="1">
        <f t="array" ref="AL93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3" s="221" t="str">
        <f>IF(Tabela_SP1[[#This Row],[sem10.forma]]&lt;&gt;"",Tabela_SP1[[#This Row],[sem10.forma]],"")</f>
        <v/>
      </c>
      <c r="AN93" s="388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3" s="389">
        <f>IF(ISERR(SEARCH("UP",Tabela_SP1_nst[[#This Row],[Umiej.prakt.]],1)),0,Tabela_SP1_nst[[#This Row],[ects.razem]])</f>
        <v>3</v>
      </c>
      <c r="AP93" s="390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3" s="391">
        <f>SUM(Tabela_SP1_nst[[#This Row],[godziny.samoksztalcenie]],Tabela_SP1_nst[[#This Row],[godziny.konsultacja]],Tabela_SP1_nst[[#This Row],[godziny.egzamin]],Tabela_SP1_nst[[#This Row],[godziny.zajec.razem]])</f>
        <v>52</v>
      </c>
      <c r="AR93" s="392">
        <f>Tabela_SP1[[#This Row],[godziny.samoksztalcenie]]+(Tabela_SP1[[#This Row],[godziny.zajec.razem]]-Tabela_SP1_nst[[#This Row],[godziny.zajec.razem]])</f>
        <v>29</v>
      </c>
      <c r="AS93" s="393">
        <f>Tabela_SP1[[#This Row],[godziny.konsultacja]]</f>
        <v>3</v>
      </c>
      <c r="AT93" s="394">
        <f>Tabela_SP1[[#This Row],[godziny.egzamin]]</f>
        <v>2</v>
      </c>
      <c r="AU93" s="395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3" s="442">
        <f>IF(Tabela_SP1_nst[[#This Row],[ects.bezposr.nauczyciel]],Tabela_SP1_nst[[#This Row],[ects.bezposr.nauczyciel]]/Tabela_SP1_nst[[#This Row],[ects.razem]],0)</f>
        <v>0.33333333333333331</v>
      </c>
      <c r="AW93" s="49"/>
    </row>
    <row r="94" spans="1:49" ht="25.5" customHeight="1" x14ac:dyDescent="0.3">
      <c r="A94" s="207"/>
      <c r="B94" s="443" t="str">
        <f>IF(Tabela_SP1[[#This Row],[kod.isced]]&lt;&gt;"",Tabela_SP1[[#This Row],[kod.isced]],"")</f>
        <v>0411</v>
      </c>
      <c r="C94" s="437" t="str">
        <f>IF(Tabela_SP1[[#This Row],[kod.dziedziny]]&lt;&gt;"",Tabela_SP1[[#This Row],[kod.dziedziny]],"")</f>
        <v>501</v>
      </c>
      <c r="D94" s="437" t="str">
        <f>IF(Tabela_SP1[[#This Row],[Modul]]&lt;&gt;"",Tabela_SP1[[#This Row],[Modul]],"")</f>
        <v>kip.04.2</v>
      </c>
      <c r="E94" s="437" t="str">
        <f>IF(Tabela_SP1[[#This Row],[Umiej.prakt.]]&lt;&gt;"",Tabela_SP1[[#This Row],[Umiej.prakt.]],"")</f>
        <v>up</v>
      </c>
      <c r="F94" s="444" t="str">
        <f>IF(Tabela_SP1[[#This Row],[Nazwa przedmiotu]]&lt;&gt;"",Tabela_SP1[[#This Row],[Nazwa przedmiotu]],"")</f>
        <v>Rozliczenia podatkowe przedsiębiorcy</v>
      </c>
      <c r="G94" s="439" t="str">
        <f>IF(Tabela_SP1[[#This Row],[Prowadzacy]]&lt;&gt;"",Tabela_SP1[[#This Row],[Prowadzacy]],"")</f>
        <v/>
      </c>
      <c r="H94" s="440" t="str">
        <f>IF(Tabela_SP1[[#This Row],[Forma]]&lt;&gt;"",Tabela_SP1[[#This Row],[Forma]],"")</f>
        <v>ćwiczenia</v>
      </c>
      <c r="I94" s="441" t="str">
        <f>IF(Tabela_SP1[[#This Row],[czy.ects]]&lt;&gt;"",Tabela_SP1[[#This Row],[czy.ects]],"")</f>
        <v>TAK</v>
      </c>
      <c r="J94" s="356" t="str" cm="1">
        <f t="array" ref="J94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4" s="356" t="str" cm="1">
        <f t="array" ref="K94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4" s="356" t="str">
        <f>IF(Tabela_SP1[[#This Row],[sem1.forma]]&lt;&gt;"",Tabela_SP1[[#This Row],[sem1.forma]],"")</f>
        <v/>
      </c>
      <c r="M94" s="357" t="str" cm="1">
        <f t="array" ref="M94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4" s="357" t="str" cm="1">
        <f t="array" ref="N94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4" s="357" t="str">
        <f>IF(Tabela_SP1[[#This Row],[sem2.forma]]&lt;&gt;"",Tabela_SP1[[#This Row],[sem2.forma]],"")</f>
        <v/>
      </c>
      <c r="P94" s="358" t="str" cm="1">
        <f t="array" ref="P94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4" s="359" t="str" cm="1">
        <f t="array" ref="Q94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4" s="358" t="str">
        <f>IF(Tabela_SP1[[#This Row],[sem3.forma]]&lt;&gt;"",Tabela_SP1[[#This Row],[sem3.forma]],"")</f>
        <v/>
      </c>
      <c r="S94" s="355" t="str" cm="1">
        <f t="array" ref="S94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4" s="355" t="str" cm="1">
        <f t="array" ref="T94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4" s="355" t="str">
        <f>IF(Tabela_SP1[[#This Row],[sem4.forma]]&lt;&gt;"",Tabela_SP1[[#This Row],[sem4.forma]],"")</f>
        <v/>
      </c>
      <c r="V94" s="216" cm="1">
        <f t="array" ref="V94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>18</v>
      </c>
      <c r="W94" s="216">
        <v>3</v>
      </c>
      <c r="X94" s="216" t="str">
        <f>IF(Tabela_SP1[[#This Row],[sem5.forma]]&lt;&gt;"",Tabela_SP1[[#This Row],[sem5.forma]],"")</f>
        <v>z</v>
      </c>
      <c r="Y94" s="217" t="str" cm="1">
        <f t="array" ref="Y94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/>
      </c>
      <c r="Z94" s="217" t="str" cm="1">
        <f t="array" ref="Z94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94" s="217" t="str">
        <f>IF(Tabela_SP1[[#This Row],[sem6.forma]]&lt;&gt;"",Tabela_SP1[[#This Row],[sem6.forma]],"")</f>
        <v/>
      </c>
      <c r="AB94" s="218" t="str" cm="1">
        <f t="array" ref="AB94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4" s="218" t="str" cm="1">
        <f t="array" ref="AC94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4" s="218" t="str">
        <f>IF(Tabela_SP1[[#This Row],[sem7.forma]]&lt;&gt;"",Tabela_SP1[[#This Row],[sem7.forma]],"")</f>
        <v/>
      </c>
      <c r="AE94" s="219" t="str" cm="1">
        <f t="array" ref="AE94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4" s="219" t="str" cm="1">
        <f t="array" ref="AF94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4" s="219" t="str">
        <f>IF(Tabela_SP1[[#This Row],[sem8.forma]]&lt;&gt;"",Tabela_SP1[[#This Row],[sem8.forma]],"")</f>
        <v/>
      </c>
      <c r="AH94" s="220" t="str" cm="1">
        <f t="array" ref="AH94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4" s="220" t="str" cm="1">
        <f t="array" ref="AI94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4" s="220" t="str">
        <f>IF(Tabela_SP1[[#This Row],[sem9.forma]]&lt;&gt;"",Tabela_SP1[[#This Row],[sem9.forma]],"")</f>
        <v/>
      </c>
      <c r="AK94" s="221" t="str" cm="1">
        <f t="array" ref="AK94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4" s="221" t="str" cm="1">
        <f t="array" ref="AL94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4" s="221" t="str">
        <f>IF(Tabela_SP1[[#This Row],[sem10.forma]]&lt;&gt;"",Tabela_SP1[[#This Row],[sem10.forma]],"")</f>
        <v/>
      </c>
      <c r="AN94" s="388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4" s="389">
        <f>IF(ISERR(SEARCH("UP",Tabela_SP1_nst[[#This Row],[Umiej.prakt.]],1)),0,Tabela_SP1_nst[[#This Row],[ects.razem]])</f>
        <v>3</v>
      </c>
      <c r="AP94" s="390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4" s="391">
        <f>SUM(Tabela_SP1_nst[[#This Row],[godziny.samoksztalcenie]],Tabela_SP1_nst[[#This Row],[godziny.konsultacja]],Tabela_SP1_nst[[#This Row],[godziny.egzamin]],Tabela_SP1_nst[[#This Row],[godziny.zajec.razem]])</f>
        <v>52</v>
      </c>
      <c r="AR94" s="392">
        <f>Tabela_SP1[[#This Row],[godziny.samoksztalcenie]]+(Tabela_SP1[[#This Row],[godziny.zajec.razem]]-Tabela_SP1_nst[[#This Row],[godziny.zajec.razem]])</f>
        <v>29</v>
      </c>
      <c r="AS94" s="393">
        <f>Tabela_SP1[[#This Row],[godziny.konsultacja]]</f>
        <v>3</v>
      </c>
      <c r="AT94" s="394">
        <f>Tabela_SP1[[#This Row],[godziny.egzamin]]</f>
        <v>2</v>
      </c>
      <c r="AU94" s="395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4" s="442">
        <f>IF(Tabela_SP1_nst[[#This Row],[ects.bezposr.nauczyciel]],Tabela_SP1_nst[[#This Row],[ects.bezposr.nauczyciel]]/Tabela_SP1_nst[[#This Row],[ects.razem]],0)</f>
        <v>0.33333333333333331</v>
      </c>
      <c r="AW94" s="49"/>
    </row>
    <row r="95" spans="1:49" ht="25.5" customHeight="1" x14ac:dyDescent="0.3">
      <c r="A95" s="207"/>
      <c r="B95" s="443" t="str">
        <f>IF(Tabela_SP1[[#This Row],[kod.isced]]&lt;&gt;"",Tabela_SP1[[#This Row],[kod.isced]],"")</f>
        <v>0411</v>
      </c>
      <c r="C95" s="437" t="str">
        <f>IF(Tabela_SP1[[#This Row],[kod.dziedziny]]&lt;&gt;"",Tabela_SP1[[#This Row],[kod.dziedziny]],"")</f>
        <v>501</v>
      </c>
      <c r="D95" s="437" t="str">
        <f>IF(Tabela_SP1[[#This Row],[Modul]]&lt;&gt;"",Tabela_SP1[[#This Row],[Modul]],"")</f>
        <v>kip.05.1</v>
      </c>
      <c r="E95" s="437" t="str">
        <f>IF(Tabela_SP1[[#This Row],[Umiej.prakt.]]&lt;&gt;"",Tabela_SP1[[#This Row],[Umiej.prakt.]],"")</f>
        <v>up</v>
      </c>
      <c r="F95" s="444" t="str">
        <f>IF(Tabela_SP1[[#This Row],[Nazwa przedmiotu]]&lt;&gt;"",Tabela_SP1[[#This Row],[Nazwa przedmiotu]],"")</f>
        <v>Rachunkowość skomputeryzowana</v>
      </c>
      <c r="G95" s="439" t="str">
        <f>IF(Tabela_SP1[[#This Row],[Prowadzacy]]&lt;&gt;"",Tabela_SP1[[#This Row],[Prowadzacy]],"")</f>
        <v/>
      </c>
      <c r="H95" s="440" t="str">
        <f>IF(Tabela_SP1[[#This Row],[Forma]]&lt;&gt;"",Tabela_SP1[[#This Row],[Forma]],"")</f>
        <v>laboratoria</v>
      </c>
      <c r="I95" s="441" t="str">
        <f>IF(Tabela_SP1[[#This Row],[czy.ects]]&lt;&gt;"",Tabela_SP1[[#This Row],[czy.ects]],"")</f>
        <v>TAK</v>
      </c>
      <c r="J95" s="356" t="str" cm="1">
        <f t="array" ref="J95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5" s="356" t="str" cm="1">
        <f t="array" ref="K95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5" s="356" t="str">
        <f>IF(Tabela_SP1[[#This Row],[sem1.forma]]&lt;&gt;"",Tabela_SP1[[#This Row],[sem1.forma]],"")</f>
        <v/>
      </c>
      <c r="M95" s="357" t="str" cm="1">
        <f t="array" ref="M95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5" s="357" t="str" cm="1">
        <f t="array" ref="N95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5" s="357" t="str">
        <f>IF(Tabela_SP1[[#This Row],[sem2.forma]]&lt;&gt;"",Tabela_SP1[[#This Row],[sem2.forma]],"")</f>
        <v/>
      </c>
      <c r="P95" s="358" t="str" cm="1">
        <f t="array" ref="P95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5" s="359" t="str" cm="1">
        <f t="array" ref="Q95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5" s="358" t="str">
        <f>IF(Tabela_SP1[[#This Row],[sem3.forma]]&lt;&gt;"",Tabela_SP1[[#This Row],[sem3.forma]],"")</f>
        <v/>
      </c>
      <c r="S95" s="355" t="str" cm="1">
        <f t="array" ref="S95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5" s="355" t="str" cm="1">
        <f t="array" ref="T95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5" s="355" t="str">
        <f>IF(Tabela_SP1[[#This Row],[sem4.forma]]&lt;&gt;"",Tabela_SP1[[#This Row],[sem4.forma]],"")</f>
        <v/>
      </c>
      <c r="V95" s="216" t="str" cm="1">
        <f t="array" ref="V95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95" s="216" t="str" cm="1">
        <f t="array" ref="W95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95" s="216" t="str">
        <f>IF(Tabela_SP1[[#This Row],[sem5.forma]]&lt;&gt;"",Tabela_SP1[[#This Row],[sem5.forma]],"")</f>
        <v/>
      </c>
      <c r="Y95" s="217" cm="1">
        <f t="array" ref="Y95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18</v>
      </c>
      <c r="Z95" s="217">
        <v>3</v>
      </c>
      <c r="AA95" s="217" t="str">
        <f>IF(Tabela_SP1[[#This Row],[sem6.forma]]&lt;&gt;"",Tabela_SP1[[#This Row],[sem6.forma]],"")</f>
        <v>z</v>
      </c>
      <c r="AB95" s="218" t="str" cm="1">
        <f t="array" ref="AB95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5" s="218" t="str" cm="1">
        <f t="array" ref="AC95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5" s="218" t="str">
        <f>IF(Tabela_SP1[[#This Row],[sem7.forma]]&lt;&gt;"",Tabela_SP1[[#This Row],[sem7.forma]],"")</f>
        <v/>
      </c>
      <c r="AE95" s="219" t="str" cm="1">
        <f t="array" ref="AE95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5" s="219" t="str" cm="1">
        <f t="array" ref="AF95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5" s="219" t="str">
        <f>IF(Tabela_SP1[[#This Row],[sem8.forma]]&lt;&gt;"",Tabela_SP1[[#This Row],[sem8.forma]],"")</f>
        <v/>
      </c>
      <c r="AH95" s="220" t="str" cm="1">
        <f t="array" ref="AH95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5" s="220" t="str" cm="1">
        <f t="array" ref="AI95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5" s="220" t="str">
        <f>IF(Tabela_SP1[[#This Row],[sem9.forma]]&lt;&gt;"",Tabela_SP1[[#This Row],[sem9.forma]],"")</f>
        <v/>
      </c>
      <c r="AK95" s="221" t="str" cm="1">
        <f t="array" ref="AK95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5" s="221" t="str" cm="1">
        <f t="array" ref="AL95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5" s="221" t="str">
        <f>IF(Tabela_SP1[[#This Row],[sem10.forma]]&lt;&gt;"",Tabela_SP1[[#This Row],[sem10.forma]],"")</f>
        <v/>
      </c>
      <c r="AN95" s="388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5" s="389">
        <f>IF(ISERR(SEARCH("UP",Tabela_SP1_nst[[#This Row],[Umiej.prakt.]],1)),0,Tabela_SP1_nst[[#This Row],[ects.razem]])</f>
        <v>3</v>
      </c>
      <c r="AP95" s="390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5" s="391">
        <f>SUM(Tabela_SP1_nst[[#This Row],[godziny.samoksztalcenie]],Tabela_SP1_nst[[#This Row],[godziny.konsultacja]],Tabela_SP1_nst[[#This Row],[godziny.egzamin]],Tabela_SP1_nst[[#This Row],[godziny.zajec.razem]])</f>
        <v>52</v>
      </c>
      <c r="AR95" s="392">
        <f>Tabela_SP1[[#This Row],[godziny.samoksztalcenie]]+(Tabela_SP1[[#This Row],[godziny.zajec.razem]]-Tabela_SP1_nst[[#This Row],[godziny.zajec.razem]])</f>
        <v>29</v>
      </c>
      <c r="AS95" s="393">
        <f>Tabela_SP1[[#This Row],[godziny.konsultacja]]</f>
        <v>3</v>
      </c>
      <c r="AT95" s="394">
        <f>Tabela_SP1[[#This Row],[godziny.egzamin]]</f>
        <v>2</v>
      </c>
      <c r="AU95" s="395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5" s="442">
        <f>IF(Tabela_SP1_nst[[#This Row],[ects.bezposr.nauczyciel]],Tabela_SP1_nst[[#This Row],[ects.bezposr.nauczyciel]]/Tabela_SP1_nst[[#This Row],[ects.razem]],0)</f>
        <v>0.33333333333333331</v>
      </c>
      <c r="AW95" s="49"/>
    </row>
    <row r="96" spans="1:49" ht="25.5" customHeight="1" x14ac:dyDescent="0.3">
      <c r="A96" s="207"/>
      <c r="B96" s="443" t="str">
        <f>IF(Tabela_SP1[[#This Row],[kod.isced]]&lt;&gt;"",Tabela_SP1[[#This Row],[kod.isced]],"")</f>
        <v>0411</v>
      </c>
      <c r="C96" s="437" t="str">
        <f>IF(Tabela_SP1[[#This Row],[kod.dziedziny]]&lt;&gt;"",Tabela_SP1[[#This Row],[kod.dziedziny]],"")</f>
        <v>501</v>
      </c>
      <c r="D96" s="437" t="str">
        <f>IF(Tabela_SP1[[#This Row],[Modul]]&lt;&gt;"",Tabela_SP1[[#This Row],[Modul]],"")</f>
        <v>kip.06.1</v>
      </c>
      <c r="E96" s="437" t="str">
        <f>IF(Tabela_SP1[[#This Row],[Umiej.prakt.]]&lt;&gt;"",Tabela_SP1[[#This Row],[Umiej.prakt.]],"")</f>
        <v>up</v>
      </c>
      <c r="F96" s="444" t="str">
        <f>IF(Tabela_SP1[[#This Row],[Nazwa przedmiotu]]&lt;&gt;"",Tabela_SP1[[#This Row],[Nazwa przedmiotu]],"")</f>
        <v>Podstawy rachunkowości zarzadczej</v>
      </c>
      <c r="G96" s="439" t="str">
        <f>IF(Tabela_SP1[[#This Row],[Prowadzacy]]&lt;&gt;"",Tabela_SP1[[#This Row],[Prowadzacy]],"")</f>
        <v/>
      </c>
      <c r="H96" s="440" t="str">
        <f>IF(Tabela_SP1[[#This Row],[Forma]]&lt;&gt;"",Tabela_SP1[[#This Row],[Forma]],"")</f>
        <v>konwersatorium</v>
      </c>
      <c r="I96" s="441" t="str">
        <f>IF(Tabela_SP1[[#This Row],[czy.ects]]&lt;&gt;"",Tabela_SP1[[#This Row],[czy.ects]],"")</f>
        <v>TAK</v>
      </c>
      <c r="J96" s="356" t="str" cm="1">
        <f t="array" ref="J96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6" s="356" t="str" cm="1">
        <f t="array" ref="K96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6" s="356" t="str">
        <f>IF(Tabela_SP1[[#This Row],[sem1.forma]]&lt;&gt;"",Tabela_SP1[[#This Row],[sem1.forma]],"")</f>
        <v/>
      </c>
      <c r="M96" s="357" t="str" cm="1">
        <f t="array" ref="M96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6" s="357" t="str" cm="1">
        <f t="array" ref="N96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6" s="357" t="str">
        <f>IF(Tabela_SP1[[#This Row],[sem2.forma]]&lt;&gt;"",Tabela_SP1[[#This Row],[sem2.forma]],"")</f>
        <v/>
      </c>
      <c r="P96" s="358" t="str" cm="1">
        <f t="array" ref="P96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6" s="359" t="str" cm="1">
        <f t="array" ref="Q96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6" s="358" t="str">
        <f>IF(Tabela_SP1[[#This Row],[sem3.forma]]&lt;&gt;"",Tabela_SP1[[#This Row],[sem3.forma]],"")</f>
        <v/>
      </c>
      <c r="S96" s="355" t="str" cm="1">
        <f t="array" ref="S96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6" s="355" t="str" cm="1">
        <f t="array" ref="T96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6" s="355" t="str">
        <f>IF(Tabela_SP1[[#This Row],[sem4.forma]]&lt;&gt;"",Tabela_SP1[[#This Row],[sem4.forma]],"")</f>
        <v/>
      </c>
      <c r="V96" s="216" t="str" cm="1">
        <f t="array" ref="V96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96" s="216" t="str" cm="1">
        <f t="array" ref="W96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96" s="216" t="str">
        <f>IF(Tabela_SP1[[#This Row],[sem5.forma]]&lt;&gt;"",Tabela_SP1[[#This Row],[sem5.forma]],"")</f>
        <v/>
      </c>
      <c r="Y96" s="217" cm="1">
        <f t="array" ref="Y96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9</v>
      </c>
      <c r="Z96" s="217" cm="1">
        <f t="array" ref="Z96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>1</v>
      </c>
      <c r="AA96" s="217" t="str">
        <f>IF(Tabela_SP1[[#This Row],[sem6.forma]]&lt;&gt;"",Tabela_SP1[[#This Row],[sem6.forma]],"")</f>
        <v>z</v>
      </c>
      <c r="AB96" s="218" t="str" cm="1">
        <f t="array" ref="AB96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6" s="218" t="str" cm="1">
        <f t="array" ref="AC96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6" s="218" t="str">
        <f>IF(Tabela_SP1[[#This Row],[sem7.forma]]&lt;&gt;"",Tabela_SP1[[#This Row],[sem7.forma]],"")</f>
        <v/>
      </c>
      <c r="AE96" s="219" t="str" cm="1">
        <f t="array" ref="AE96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6" s="219" t="str" cm="1">
        <f t="array" ref="AF96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6" s="219" t="str">
        <f>IF(Tabela_SP1[[#This Row],[sem8.forma]]&lt;&gt;"",Tabela_SP1[[#This Row],[sem8.forma]],"")</f>
        <v/>
      </c>
      <c r="AH96" s="220" t="str" cm="1">
        <f t="array" ref="AH96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6" s="220" t="str" cm="1">
        <f t="array" ref="AI96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6" s="220" t="str">
        <f>IF(Tabela_SP1[[#This Row],[sem9.forma]]&lt;&gt;"",Tabela_SP1[[#This Row],[sem9.forma]],"")</f>
        <v/>
      </c>
      <c r="AK96" s="221" t="str" cm="1">
        <f t="array" ref="AK96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6" s="221" t="str" cm="1">
        <f t="array" ref="AL96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6" s="221" t="str">
        <f>IF(Tabela_SP1[[#This Row],[sem10.forma]]&lt;&gt;"",Tabela_SP1[[#This Row],[sem10.forma]],"")</f>
        <v/>
      </c>
      <c r="AN96" s="388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1</v>
      </c>
      <c r="AO96" s="389">
        <f>IF(ISERR(SEARCH("UP",Tabela_SP1_nst[[#This Row],[Umiej.prakt.]],1)),0,Tabela_SP1_nst[[#This Row],[ects.razem]])</f>
        <v>1</v>
      </c>
      <c r="AP96" s="390">
        <f>IF(Tabela_SP1_nst[[#This Row],[czy.ects]]="TAK",ROUND((SUM(Tabela_SP1_nst[[#This Row],[godziny.konsultacja]],Tabela_SP1_nst[[#This Row],[godziny.egzamin]],Tabela_SP1_nst[[#This Row],[godziny.zajec.razem]])/25)/0.5,0)*0.5,0)</f>
        <v>0.5</v>
      </c>
      <c r="AQ96" s="391">
        <f>SUM(Tabela_SP1_nst[[#This Row],[godziny.samoksztalcenie]],Tabela_SP1_nst[[#This Row],[godziny.konsultacja]],Tabela_SP1_nst[[#This Row],[godziny.egzamin]],Tabela_SP1_nst[[#This Row],[godziny.zajec.razem]])</f>
        <v>27</v>
      </c>
      <c r="AR96" s="392">
        <f>Tabela_SP1[[#This Row],[godziny.samoksztalcenie]]+(Tabela_SP1[[#This Row],[godziny.zajec.razem]]-Tabela_SP1_nst[[#This Row],[godziny.zajec.razem]])</f>
        <v>15</v>
      </c>
      <c r="AS96" s="393">
        <f>Tabela_SP1[[#This Row],[godziny.konsultacja]]</f>
        <v>1</v>
      </c>
      <c r="AT96" s="394">
        <f>Tabela_SP1[[#This Row],[godziny.egzamin]]</f>
        <v>2</v>
      </c>
      <c r="AU96" s="395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9</v>
      </c>
      <c r="AV96" s="442">
        <f>IF(Tabela_SP1_nst[[#This Row],[ects.bezposr.nauczyciel]],Tabela_SP1_nst[[#This Row],[ects.bezposr.nauczyciel]]/Tabela_SP1_nst[[#This Row],[ects.razem]],0)</f>
        <v>0.5</v>
      </c>
      <c r="AW96" s="49"/>
    </row>
    <row r="97" spans="1:49" ht="25.5" customHeight="1" x14ac:dyDescent="0.3">
      <c r="A97" s="207"/>
      <c r="B97" s="331" t="str">
        <f>IF(Tabela_SP1[[#This Row],[kod.isced]]&lt;&gt;"",Tabela_SP1[[#This Row],[kod.isced]],"")</f>
        <v>0411</v>
      </c>
      <c r="C97" s="193" t="str">
        <f>IF(Tabela_SP1[[#This Row],[kod.dziedziny]]&lt;&gt;"",Tabela_SP1[[#This Row],[kod.dziedziny]],"")</f>
        <v>501</v>
      </c>
      <c r="D97" s="193" t="str">
        <f>IF(Tabela_SP1[[#This Row],[Modul]]&lt;&gt;"",Tabela_SP1[[#This Row],[Modul]],"")</f>
        <v>kip.06.2</v>
      </c>
      <c r="E97" s="193" t="str">
        <f>IF(Tabela_SP1[[#This Row],[Umiej.prakt.]]&lt;&gt;"",Tabela_SP1[[#This Row],[Umiej.prakt.]],"")</f>
        <v>up</v>
      </c>
      <c r="F97" s="327" t="str">
        <f>IF(Tabela_SP1[[#This Row],[Nazwa przedmiotu]]&lt;&gt;"",Tabela_SP1[[#This Row],[Nazwa przedmiotu]],"")</f>
        <v>Podstawy rachunkowości zarzadczej</v>
      </c>
      <c r="G97" s="309" t="str">
        <f>IF(Tabela_SP1[[#This Row],[Prowadzacy]]&lt;&gt;"",Tabela_SP1[[#This Row],[Prowadzacy]],"")</f>
        <v/>
      </c>
      <c r="H97" s="155" t="str">
        <f>IF(Tabela_SP1[[#This Row],[Forma]]&lt;&gt;"",Tabela_SP1[[#This Row],[Forma]],"")</f>
        <v>ćwiczenia</v>
      </c>
      <c r="I97" s="156" t="str">
        <f>IF(Tabela_SP1[[#This Row],[czy.ects]]&lt;&gt;"",Tabela_SP1[[#This Row],[czy.ects]],"")</f>
        <v>TAK</v>
      </c>
      <c r="J97" s="356" t="str" cm="1">
        <f t="array" ref="J97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7" s="356" t="str" cm="1">
        <f t="array" ref="K97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7" s="356" t="str">
        <f>IF(Tabela_SP1[[#This Row],[sem1.forma]]&lt;&gt;"",Tabela_SP1[[#This Row],[sem1.forma]],"")</f>
        <v/>
      </c>
      <c r="M97" s="357" t="str" cm="1">
        <f t="array" ref="M97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7" s="357" t="str" cm="1">
        <f t="array" ref="N97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7" s="357" t="str">
        <f>IF(Tabela_SP1[[#This Row],[sem2.forma]]&lt;&gt;"",Tabela_SP1[[#This Row],[sem2.forma]],"")</f>
        <v/>
      </c>
      <c r="P97" s="358" t="str" cm="1">
        <f t="array" ref="P97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7" s="359" t="str" cm="1">
        <f t="array" ref="Q97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7" s="358" t="str">
        <f>IF(Tabela_SP1[[#This Row],[sem3.forma]]&lt;&gt;"",Tabela_SP1[[#This Row],[sem3.forma]],"")</f>
        <v/>
      </c>
      <c r="S97" s="355" t="str" cm="1">
        <f t="array" ref="S97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7" s="355" t="str" cm="1">
        <f t="array" ref="T97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7" s="355" t="str">
        <f>IF(Tabela_SP1[[#This Row],[sem4.forma]]&lt;&gt;"",Tabela_SP1[[#This Row],[sem4.forma]],"")</f>
        <v/>
      </c>
      <c r="V97" s="216" t="str" cm="1">
        <f t="array" ref="V97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97" s="216" t="str" cm="1">
        <f t="array" ref="W97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97" s="216" t="str">
        <f>IF(Tabela_SP1[[#This Row],[sem5.forma]]&lt;&gt;"",Tabela_SP1[[#This Row],[sem5.forma]],"")</f>
        <v/>
      </c>
      <c r="Y97" s="217" cm="1">
        <f t="array" ref="Y97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18</v>
      </c>
      <c r="Z97" s="217">
        <v>3</v>
      </c>
      <c r="AA97" s="217" t="str">
        <f>IF(Tabela_SP1[[#This Row],[sem6.forma]]&lt;&gt;"",Tabela_SP1[[#This Row],[sem6.forma]],"")</f>
        <v>z</v>
      </c>
      <c r="AB97" s="218" t="str" cm="1">
        <f t="array" ref="AB97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7" s="218" t="str" cm="1">
        <f t="array" ref="AC97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7" s="218" t="str">
        <f>IF(Tabela_SP1[[#This Row],[sem7.forma]]&lt;&gt;"",Tabela_SP1[[#This Row],[sem7.forma]],"")</f>
        <v/>
      </c>
      <c r="AE97" s="219" t="str" cm="1">
        <f t="array" ref="AE97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7" s="219" t="str" cm="1">
        <f t="array" ref="AF97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7" s="219" t="str">
        <f>IF(Tabela_SP1[[#This Row],[sem8.forma]]&lt;&gt;"",Tabela_SP1[[#This Row],[sem8.forma]],"")</f>
        <v/>
      </c>
      <c r="AH97" s="220" t="str" cm="1">
        <f t="array" ref="AH97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7" s="220" t="str" cm="1">
        <f t="array" ref="AI97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7" s="220" t="str">
        <f>IF(Tabela_SP1[[#This Row],[sem9.forma]]&lt;&gt;"",Tabela_SP1[[#This Row],[sem9.forma]],"")</f>
        <v/>
      </c>
      <c r="AK97" s="221" t="str" cm="1">
        <f t="array" ref="AK97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7" s="221" t="str" cm="1">
        <f t="array" ref="AL97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7" s="221" t="str">
        <f>IF(Tabela_SP1[[#This Row],[sem10.forma]]&lt;&gt;"",Tabela_SP1[[#This Row],[sem10.forma]],"")</f>
        <v/>
      </c>
      <c r="AN97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7" s="223">
        <f>IF(ISERR(SEARCH("UP",Tabela_SP1_nst[[#This Row],[Umiej.prakt.]],1)),0,Tabela_SP1_nst[[#This Row],[ects.razem]])</f>
        <v>3</v>
      </c>
      <c r="AP97" s="224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7" s="225">
        <f>SUM(Tabela_SP1_nst[[#This Row],[godziny.samoksztalcenie]],Tabela_SP1_nst[[#This Row],[godziny.konsultacja]],Tabela_SP1_nst[[#This Row],[godziny.egzamin]],Tabela_SP1_nst[[#This Row],[godziny.zajec.razem]])</f>
        <v>52</v>
      </c>
      <c r="AR97" s="226">
        <f>Tabela_SP1[[#This Row],[godziny.samoksztalcenie]]+(Tabela_SP1[[#This Row],[godziny.zajec.razem]]-Tabela_SP1_nst[[#This Row],[godziny.zajec.razem]])</f>
        <v>29</v>
      </c>
      <c r="AS97" s="227">
        <f>Tabela_SP1[[#This Row],[godziny.konsultacja]]</f>
        <v>3</v>
      </c>
      <c r="AT97" s="228">
        <f>Tabela_SP1[[#This Row],[godziny.egzamin]]</f>
        <v>2</v>
      </c>
      <c r="AU97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7" s="326">
        <f>IF(Tabela_SP1_nst[[#This Row],[ects.bezposr.nauczyciel]],Tabela_SP1_nst[[#This Row],[ects.bezposr.nauczyciel]]/Tabela_SP1_nst[[#This Row],[ects.razem]],0)</f>
        <v>0.33333333333333331</v>
      </c>
      <c r="AW97" s="49"/>
    </row>
    <row r="98" spans="1:49" ht="25.5" customHeight="1" x14ac:dyDescent="0.3">
      <c r="A98" s="207"/>
      <c r="B98" s="331" t="str">
        <f>IF(Tabela_SP1[[#This Row],[kod.isced]]&lt;&gt;"",Tabela_SP1[[#This Row],[kod.isced]],"")</f>
        <v>0411</v>
      </c>
      <c r="C98" s="193" t="str">
        <f>IF(Tabela_SP1[[#This Row],[kod.dziedziny]]&lt;&gt;"",Tabela_SP1[[#This Row],[kod.dziedziny]],"")</f>
        <v>501</v>
      </c>
      <c r="D98" s="193" t="str">
        <f>IF(Tabela_SP1[[#This Row],[Modul]]&lt;&gt;"",Tabela_SP1[[#This Row],[Modul]],"")</f>
        <v>kip.07.1</v>
      </c>
      <c r="E98" s="193" t="str">
        <f>IF(Tabela_SP1[[#This Row],[Umiej.prakt.]]&lt;&gt;"",Tabela_SP1[[#This Row],[Umiej.prakt.]],"")</f>
        <v>up</v>
      </c>
      <c r="F98" s="327" t="str">
        <f>IF(Tabela_SP1[[#This Row],[Nazwa przedmiotu]]&lt;&gt;"",Tabela_SP1[[#This Row],[Nazwa przedmiotu]],"")</f>
        <v>Ubezpieczenia i podatki w systemie płac</v>
      </c>
      <c r="G98" s="309" t="str">
        <f>IF(Tabela_SP1[[#This Row],[Prowadzacy]]&lt;&gt;"",Tabela_SP1[[#This Row],[Prowadzacy]],"")</f>
        <v/>
      </c>
      <c r="H98" s="155" t="str">
        <f>IF(Tabela_SP1[[#This Row],[Forma]]&lt;&gt;"",Tabela_SP1[[#This Row],[Forma]],"")</f>
        <v>laboratoria</v>
      </c>
      <c r="I98" s="156" t="str">
        <f>IF(Tabela_SP1[[#This Row],[czy.ects]]&lt;&gt;"",Tabela_SP1[[#This Row],[czy.ects]],"")</f>
        <v>TAK</v>
      </c>
      <c r="J98" s="356" t="str" cm="1">
        <f t="array" ref="J98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8" s="356" t="str" cm="1">
        <f t="array" ref="K98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8" s="356" t="str">
        <f>IF(Tabela_SP1[[#This Row],[sem1.forma]]&lt;&gt;"",Tabela_SP1[[#This Row],[sem1.forma]],"")</f>
        <v/>
      </c>
      <c r="M98" s="357" t="str" cm="1">
        <f t="array" ref="M98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8" s="357" t="str" cm="1">
        <f t="array" ref="N98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8" s="357" t="str">
        <f>IF(Tabela_SP1[[#This Row],[sem2.forma]]&lt;&gt;"",Tabela_SP1[[#This Row],[sem2.forma]],"")</f>
        <v/>
      </c>
      <c r="P98" s="358" t="str" cm="1">
        <f t="array" ref="P98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8" s="359" t="str" cm="1">
        <f t="array" ref="Q98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8" s="358" t="str">
        <f>IF(Tabela_SP1[[#This Row],[sem3.forma]]&lt;&gt;"",Tabela_SP1[[#This Row],[sem3.forma]],"")</f>
        <v/>
      </c>
      <c r="S98" s="355" t="str" cm="1">
        <f t="array" ref="S98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8" s="355" t="str" cm="1">
        <f t="array" ref="T98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8" s="355" t="str">
        <f>IF(Tabela_SP1[[#This Row],[sem4.forma]]&lt;&gt;"",Tabela_SP1[[#This Row],[sem4.forma]],"")</f>
        <v/>
      </c>
      <c r="V98" s="216" t="str" cm="1">
        <f t="array" ref="V98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/>
      </c>
      <c r="W98" s="216" t="str" cm="1">
        <f t="array" ref="W98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98" s="216" t="str">
        <f>IF(Tabela_SP1[[#This Row],[sem5.forma]]&lt;&gt;"",Tabela_SP1[[#This Row],[sem5.forma]],"")</f>
        <v/>
      </c>
      <c r="Y98" s="217" cm="1">
        <f t="array" ref="Y98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18</v>
      </c>
      <c r="Z98" s="217">
        <v>3</v>
      </c>
      <c r="AA98" s="217" t="str">
        <f>IF(Tabela_SP1[[#This Row],[sem6.forma]]&lt;&gt;"",Tabela_SP1[[#This Row],[sem6.forma]],"")</f>
        <v>z</v>
      </c>
      <c r="AB98" s="218" t="str" cm="1">
        <f t="array" ref="AB98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8" s="218" t="str" cm="1">
        <f t="array" ref="AC98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8" s="218" t="str">
        <f>IF(Tabela_SP1[[#This Row],[sem7.forma]]&lt;&gt;"",Tabela_SP1[[#This Row],[sem7.forma]],"")</f>
        <v/>
      </c>
      <c r="AE98" s="219" t="str" cm="1">
        <f t="array" ref="AE98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8" s="219" t="str" cm="1">
        <f t="array" ref="AF98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8" s="219" t="str">
        <f>IF(Tabela_SP1[[#This Row],[sem8.forma]]&lt;&gt;"",Tabela_SP1[[#This Row],[sem8.forma]],"")</f>
        <v/>
      </c>
      <c r="AH98" s="220" t="str" cm="1">
        <f t="array" ref="AH98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8" s="220" t="str" cm="1">
        <f t="array" ref="AI98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8" s="220" t="str">
        <f>IF(Tabela_SP1[[#This Row],[sem9.forma]]&lt;&gt;"",Tabela_SP1[[#This Row],[sem9.forma]],"")</f>
        <v/>
      </c>
      <c r="AK98" s="221" t="str" cm="1">
        <f t="array" ref="AK98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8" s="221" t="str" cm="1">
        <f t="array" ref="AL98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8" s="221" t="str">
        <f>IF(Tabela_SP1[[#This Row],[sem10.forma]]&lt;&gt;"",Tabela_SP1[[#This Row],[sem10.forma]],"")</f>
        <v/>
      </c>
      <c r="AN98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3</v>
      </c>
      <c r="AO98" s="223">
        <f>IF(ISERR(SEARCH("UP",Tabela_SP1_nst[[#This Row],[Umiej.prakt.]],1)),0,Tabela_SP1_nst[[#This Row],[ects.razem]])</f>
        <v>3</v>
      </c>
      <c r="AP98" s="224">
        <f>IF(Tabela_SP1_nst[[#This Row],[czy.ects]]="TAK",ROUND((SUM(Tabela_SP1_nst[[#This Row],[godziny.konsultacja]],Tabela_SP1_nst[[#This Row],[godziny.egzamin]],Tabela_SP1_nst[[#This Row],[godziny.zajec.razem]])/25)/0.5,0)*0.5,0)</f>
        <v>1</v>
      </c>
      <c r="AQ98" s="225">
        <f>SUM(Tabela_SP1_nst[[#This Row],[godziny.samoksztalcenie]],Tabela_SP1_nst[[#This Row],[godziny.konsultacja]],Tabela_SP1_nst[[#This Row],[godziny.egzamin]],Tabela_SP1_nst[[#This Row],[godziny.zajec.razem]])</f>
        <v>52</v>
      </c>
      <c r="AR98" s="226">
        <f>Tabela_SP1[[#This Row],[godziny.samoksztalcenie]]+(Tabela_SP1[[#This Row],[godziny.zajec.razem]]-Tabela_SP1_nst[[#This Row],[godziny.zajec.razem]])</f>
        <v>29</v>
      </c>
      <c r="AS98" s="227">
        <f>Tabela_SP1[[#This Row],[godziny.konsultacja]]</f>
        <v>3</v>
      </c>
      <c r="AT98" s="228">
        <f>Tabela_SP1[[#This Row],[godziny.egzamin]]</f>
        <v>2</v>
      </c>
      <c r="AU98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18</v>
      </c>
      <c r="AV98" s="326">
        <f>IF(Tabela_SP1_nst[[#This Row],[ects.bezposr.nauczyciel]],Tabela_SP1_nst[[#This Row],[ects.bezposr.nauczyciel]]/Tabela_SP1_nst[[#This Row],[ects.razem]],0)</f>
        <v>0.33333333333333331</v>
      </c>
      <c r="AW98" s="49"/>
    </row>
    <row r="99" spans="1:49" ht="25.5" customHeight="1" x14ac:dyDescent="0.3">
      <c r="A99" s="207"/>
      <c r="B99" s="331" t="str">
        <f>IF(Tabela_SP1[[#This Row],[kod.isced]]&lt;&gt;"",Tabela_SP1[[#This Row],[kod.isced]],"")</f>
        <v>0411</v>
      </c>
      <c r="C99" s="193" t="str">
        <f>IF(Tabela_SP1[[#This Row],[kod.dziedziny]]&lt;&gt;"",Tabela_SP1[[#This Row],[kod.dziedziny]],"")</f>
        <v>501</v>
      </c>
      <c r="D99" s="193" t="str">
        <f>IF(Tabela_SP1[[#This Row],[Modul]]&lt;&gt;"",Tabela_SP1[[#This Row],[Modul]],"")</f>
        <v>kip.08.1</v>
      </c>
      <c r="E99" s="193" t="str">
        <f>IF(Tabela_SP1[[#This Row],[Umiej.prakt.]]&lt;&gt;"",Tabela_SP1[[#This Row],[Umiej.prakt.]],"")</f>
        <v>up</v>
      </c>
      <c r="F99" s="327" t="str">
        <f>IF(Tabela_SP1[[#This Row],[Nazwa przedmiotu]]&lt;&gt;"",Tabela_SP1[[#This Row],[Nazwa przedmiotu]],"")</f>
        <v>Seminarium dyplomowe</v>
      </c>
      <c r="G99" s="309" t="str">
        <f>IF(Tabela_SP1[[#This Row],[Prowadzacy]]&lt;&gt;"",Tabela_SP1[[#This Row],[Prowadzacy]],"")</f>
        <v/>
      </c>
      <c r="H99" s="155" t="str">
        <f>IF(Tabela_SP1[[#This Row],[Forma]]&lt;&gt;"",Tabela_SP1[[#This Row],[Forma]],"")</f>
        <v>projekt</v>
      </c>
      <c r="I99" s="156" t="str">
        <f>IF(Tabela_SP1[[#This Row],[czy.ects]]&lt;&gt;"",Tabela_SP1[[#This Row],[czy.ects]],"")</f>
        <v>TAK</v>
      </c>
      <c r="J99" s="356" t="str" cm="1">
        <f t="array" ref="J99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99" s="356" t="str" cm="1">
        <f t="array" ref="K99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99" s="356" t="str">
        <f>IF(Tabela_SP1[[#This Row],[sem1.forma]]&lt;&gt;"",Tabela_SP1[[#This Row],[sem1.forma]],"")</f>
        <v/>
      </c>
      <c r="M99" s="357" t="str" cm="1">
        <f t="array" ref="M99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99" s="357" t="str" cm="1">
        <f t="array" ref="N99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99" s="357" t="str">
        <f>IF(Tabela_SP1[[#This Row],[sem2.forma]]&lt;&gt;"",Tabela_SP1[[#This Row],[sem2.forma]],"")</f>
        <v/>
      </c>
      <c r="P99" s="358" t="str" cm="1">
        <f t="array" ref="P99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99" s="359" t="str" cm="1">
        <f t="array" ref="Q99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99" s="358" t="str">
        <f>IF(Tabela_SP1[[#This Row],[sem3.forma]]&lt;&gt;"",Tabela_SP1[[#This Row],[sem3.forma]],"")</f>
        <v/>
      </c>
      <c r="S99" s="355" t="str" cm="1">
        <f t="array" ref="S99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/>
      </c>
      <c r="T99" s="355" t="str" cm="1">
        <f t="array" ref="T99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99" s="355" t="str">
        <f>IF(Tabela_SP1[[#This Row],[sem4.forma]]&lt;&gt;"",Tabela_SP1[[#This Row],[sem4.forma]],"")</f>
        <v/>
      </c>
      <c r="V99" s="216" cm="1">
        <f t="array" ref="V99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>18</v>
      </c>
      <c r="W99" s="216">
        <v>3</v>
      </c>
      <c r="X99" s="216" t="str">
        <f>IF(Tabela_SP1[[#This Row],[sem5.forma]]&lt;&gt;"",Tabela_SP1[[#This Row],[sem5.forma]],"")</f>
        <v>z</v>
      </c>
      <c r="Y99" s="217" cm="1">
        <f t="array" ref="Y99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18</v>
      </c>
      <c r="Z99" s="217">
        <v>3</v>
      </c>
      <c r="AA99" s="217" t="str">
        <f>IF(Tabela_SP1[[#This Row],[sem6.forma]]&lt;&gt;"",Tabela_SP1[[#This Row],[sem6.forma]],"")</f>
        <v>z</v>
      </c>
      <c r="AB99" s="218" t="str" cm="1">
        <f t="array" ref="AB99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99" s="218" t="str" cm="1">
        <f t="array" ref="AC99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99" s="218" t="str">
        <f>IF(Tabela_SP1[[#This Row],[sem7.forma]]&lt;&gt;"",Tabela_SP1[[#This Row],[sem7.forma]],"")</f>
        <v/>
      </c>
      <c r="AE99" s="219" t="str" cm="1">
        <f t="array" ref="AE99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99" s="219" t="str" cm="1">
        <f t="array" ref="AF99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99" s="219" t="str">
        <f>IF(Tabela_SP1[[#This Row],[sem8.forma]]&lt;&gt;"",Tabela_SP1[[#This Row],[sem8.forma]],"")</f>
        <v/>
      </c>
      <c r="AH99" s="220" t="str" cm="1">
        <f t="array" ref="AH99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99" s="220" t="str" cm="1">
        <f t="array" ref="AI99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99" s="220" t="str">
        <f>IF(Tabela_SP1[[#This Row],[sem9.forma]]&lt;&gt;"",Tabela_SP1[[#This Row],[sem9.forma]],"")</f>
        <v/>
      </c>
      <c r="AK99" s="221" t="str" cm="1">
        <f t="array" ref="AK99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99" s="221" t="str" cm="1">
        <f t="array" ref="AL99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99" s="221" t="str">
        <f>IF(Tabela_SP1[[#This Row],[sem10.forma]]&lt;&gt;"",Tabela_SP1[[#This Row],[sem10.forma]],"")</f>
        <v/>
      </c>
      <c r="AN99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6</v>
      </c>
      <c r="AO99" s="223">
        <f>IF(ISERR(SEARCH("UP",Tabela_SP1_nst[[#This Row],[Umiej.prakt.]],1)),0,Tabela_SP1_nst[[#This Row],[ects.razem]])</f>
        <v>6</v>
      </c>
      <c r="AP99" s="224">
        <f>IF(Tabela_SP1_nst[[#This Row],[czy.ects]]="TAK",ROUND((SUM(Tabela_SP1_nst[[#This Row],[godziny.konsultacja]],Tabela_SP1_nst[[#This Row],[godziny.egzamin]],Tabela_SP1_nst[[#This Row],[godziny.zajec.razem]])/25)/0.5,0)*0.5,0)</f>
        <v>2</v>
      </c>
      <c r="AQ99" s="225">
        <f>SUM(Tabela_SP1_nst[[#This Row],[godziny.samoksztalcenie]],Tabela_SP1_nst[[#This Row],[godziny.konsultacja]],Tabela_SP1_nst[[#This Row],[godziny.egzamin]],Tabela_SP1_nst[[#This Row],[godziny.zajec.razem]])</f>
        <v>105</v>
      </c>
      <c r="AR99" s="226">
        <f>Tabela_SP1[[#This Row],[godziny.samoksztalcenie]]+(Tabela_SP1[[#This Row],[godziny.zajec.razem]]-Tabela_SP1_nst[[#This Row],[godziny.zajec.razem]])</f>
        <v>59</v>
      </c>
      <c r="AS99" s="227">
        <f>Tabela_SP1[[#This Row],[godziny.konsultacja]]</f>
        <v>6</v>
      </c>
      <c r="AT99" s="228">
        <f>Tabela_SP1[[#This Row],[godziny.egzamin]]</f>
        <v>4</v>
      </c>
      <c r="AU99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36</v>
      </c>
      <c r="AV99" s="326">
        <f>IF(Tabela_SP1_nst[[#This Row],[ects.bezposr.nauczyciel]],Tabela_SP1_nst[[#This Row],[ects.bezposr.nauczyciel]]/Tabela_SP1_nst[[#This Row],[ects.razem]],0)</f>
        <v>0.33333333333333331</v>
      </c>
      <c r="AW99" s="49"/>
    </row>
    <row r="100" spans="1:49" ht="25.5" customHeight="1" x14ac:dyDescent="0.3">
      <c r="A100" s="207"/>
      <c r="B100" s="331" t="str">
        <f>IF(Tabela_SP1[[#This Row],[kod.isced]]&lt;&gt;"",Tabela_SP1[[#This Row],[kod.isced]],"")</f>
        <v>0411</v>
      </c>
      <c r="C100" s="193" t="str">
        <f>IF(Tabela_SP1[[#This Row],[kod.dziedziny]]&lt;&gt;"",Tabela_SP1[[#This Row],[kod.dziedziny]],"")</f>
        <v>501</v>
      </c>
      <c r="D100" s="193" t="str">
        <f>IF(Tabela_SP1[[#This Row],[Modul]]&lt;&gt;"",Tabela_SP1[[#This Row],[Modul]],"")</f>
        <v>kip.09.1</v>
      </c>
      <c r="E100" s="193" t="str">
        <f>IF(Tabela_SP1[[#This Row],[Umiej.prakt.]]&lt;&gt;"",Tabela_SP1[[#This Row],[Umiej.prakt.]],"")</f>
        <v/>
      </c>
      <c r="F100" s="327" t="str">
        <f>IF(Tabela_SP1[[#This Row],[Nazwa przedmiotu]]&lt;&gt;"",Tabela_SP1[[#This Row],[Nazwa przedmiotu]],"")</f>
        <v>Instruktaż do praktyk</v>
      </c>
      <c r="G100" s="309" t="str">
        <f>IF(Tabela_SP1[[#This Row],[Prowadzacy]]&lt;&gt;"",Tabela_SP1[[#This Row],[Prowadzacy]],"")</f>
        <v/>
      </c>
      <c r="H100" s="155" t="str">
        <f>IF(Tabela_SP1[[#This Row],[Forma]]&lt;&gt;"",Tabela_SP1[[#This Row],[Forma]],"")</f>
        <v>instruktaż</v>
      </c>
      <c r="I100" s="156" t="str">
        <f>IF(Tabela_SP1[[#This Row],[czy.ects]]&lt;&gt;"",Tabela_SP1[[#This Row],[czy.ects]],"")</f>
        <v>NIE</v>
      </c>
      <c r="J100" s="356" t="str" cm="1">
        <f t="array" ref="J100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100" s="356" t="str" cm="1">
        <f t="array" ref="K100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100" s="356" t="str">
        <f>IF(Tabela_SP1[[#This Row],[sem1.forma]]&lt;&gt;"",Tabela_SP1[[#This Row],[sem1.forma]],"")</f>
        <v/>
      </c>
      <c r="M100" s="357" t="str" cm="1">
        <f t="array" ref="M100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100" s="357" t="str" cm="1">
        <f t="array" ref="N100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100" s="357" t="str">
        <f>IF(Tabela_SP1[[#This Row],[sem2.forma]]&lt;&gt;"",Tabela_SP1[[#This Row],[sem2.forma]],"")</f>
        <v/>
      </c>
      <c r="P100" s="358" t="str" cm="1">
        <f t="array" ref="P100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100" s="359" t="str" cm="1">
        <f t="array" ref="Q100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100" s="358" t="str">
        <f>IF(Tabela_SP1[[#This Row],[sem3.forma]]&lt;&gt;"",Tabela_SP1[[#This Row],[sem3.forma]],"")</f>
        <v/>
      </c>
      <c r="S100" s="355" cm="1">
        <f t="array" ref="S100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>15</v>
      </c>
      <c r="T100" s="355" t="str" cm="1">
        <f t="array" ref="T100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/>
      </c>
      <c r="U100" s="355" t="str">
        <f>IF(Tabela_SP1[[#This Row],[sem4.forma]]&lt;&gt;"",Tabela_SP1[[#This Row],[sem4.forma]],"")</f>
        <v>n</v>
      </c>
      <c r="V100" s="216" cm="1">
        <f t="array" ref="V100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>15</v>
      </c>
      <c r="W100" s="216" t="str" cm="1">
        <f t="array" ref="W100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/>
      </c>
      <c r="X100" s="216" t="str">
        <f>IF(Tabela_SP1[[#This Row],[sem5.forma]]&lt;&gt;"",Tabela_SP1[[#This Row],[sem5.forma]],"")</f>
        <v>n</v>
      </c>
      <c r="Y100" s="217" cm="1">
        <f t="array" ref="Y100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15</v>
      </c>
      <c r="Z100" s="217" t="str" cm="1">
        <f t="array" ref="Z100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/>
      </c>
      <c r="AA100" s="217" t="str">
        <f>IF(Tabela_SP1[[#This Row],[sem6.forma]]&lt;&gt;"",Tabela_SP1[[#This Row],[sem6.forma]],"")</f>
        <v>n</v>
      </c>
      <c r="AB100" s="218" t="str" cm="1">
        <f t="array" ref="AB100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100" s="218" t="str" cm="1">
        <f t="array" ref="AC100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100" s="218" t="str">
        <f>IF(Tabela_SP1[[#This Row],[sem7.forma]]&lt;&gt;"",Tabela_SP1[[#This Row],[sem7.forma]],"")</f>
        <v/>
      </c>
      <c r="AE100" s="219" t="str" cm="1">
        <f t="array" ref="AE100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100" s="219" t="str" cm="1">
        <f t="array" ref="AF100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100" s="219" t="str">
        <f>IF(Tabela_SP1[[#This Row],[sem8.forma]]&lt;&gt;"",Tabela_SP1[[#This Row],[sem8.forma]],"")</f>
        <v/>
      </c>
      <c r="AH100" s="220" t="str" cm="1">
        <f t="array" ref="AH100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100" s="220" t="str" cm="1">
        <f t="array" ref="AI100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100" s="220" t="str">
        <f>IF(Tabela_SP1[[#This Row],[sem9.forma]]&lt;&gt;"",Tabela_SP1[[#This Row],[sem9.forma]],"")</f>
        <v/>
      </c>
      <c r="AK100" s="221" t="str" cm="1">
        <f t="array" ref="AK100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100" s="221" t="str" cm="1">
        <f t="array" ref="AL100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100" s="221" t="str">
        <f>IF(Tabela_SP1[[#This Row],[sem10.forma]]&lt;&gt;"",Tabela_SP1[[#This Row],[sem10.forma]],"")</f>
        <v/>
      </c>
      <c r="AN100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0</v>
      </c>
      <c r="AO100" s="223">
        <f>IF(ISERR(SEARCH("UP",Tabela_SP1_nst[[#This Row],[Umiej.prakt.]],1)),0,Tabela_SP1_nst[[#This Row],[ects.razem]])</f>
        <v>0</v>
      </c>
      <c r="AP100" s="224">
        <f>IF(Tabela_SP1_nst[[#This Row],[czy.ects]]="TAK",ROUND((SUM(Tabela_SP1_nst[[#This Row],[godziny.konsultacja]],Tabela_SP1_nst[[#This Row],[godziny.egzamin]],Tabela_SP1_nst[[#This Row],[godziny.zajec.razem]])/25)/0.5,0)*0.5,0)</f>
        <v>0</v>
      </c>
      <c r="AQ100" s="225">
        <f>SUM(Tabela_SP1_nst[[#This Row],[godziny.samoksztalcenie]],Tabela_SP1_nst[[#This Row],[godziny.konsultacja]],Tabela_SP1_nst[[#This Row],[godziny.egzamin]],Tabela_SP1_nst[[#This Row],[godziny.zajec.razem]])</f>
        <v>79</v>
      </c>
      <c r="AR100" s="226">
        <f>Tabela_SP1[[#This Row],[godziny.samoksztalcenie]]+(Tabela_SP1[[#This Row],[godziny.zajec.razem]]-Tabela_SP1_nst[[#This Row],[godziny.zajec.razem]])</f>
        <v>26</v>
      </c>
      <c r="AS100" s="227">
        <f>Tabela_SP1[[#This Row],[godziny.konsultacja]]</f>
        <v>4</v>
      </c>
      <c r="AT100" s="228">
        <f>Tabela_SP1[[#This Row],[godziny.egzamin]]</f>
        <v>4</v>
      </c>
      <c r="AU100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45</v>
      </c>
      <c r="AV100" s="326">
        <f>IF(Tabela_SP1_nst[[#This Row],[ects.bezposr.nauczyciel]],Tabela_SP1_nst[[#This Row],[ects.bezposr.nauczyciel]]/Tabela_SP1_nst[[#This Row],[ects.razem]],0)</f>
        <v>0</v>
      </c>
      <c r="AW100" s="49"/>
    </row>
    <row r="101" spans="1:49" ht="25.5" customHeight="1" x14ac:dyDescent="0.3">
      <c r="A101" s="207"/>
      <c r="B101" s="331" t="str">
        <f>IF(Tabela_SP1[[#This Row],[kod.isced]]&lt;&gt;"",Tabela_SP1[[#This Row],[kod.isced]],"")</f>
        <v>0411</v>
      </c>
      <c r="C101" s="193" t="str">
        <f>IF(Tabela_SP1[[#This Row],[kod.dziedziny]]&lt;&gt;"",Tabela_SP1[[#This Row],[kod.dziedziny]],"")</f>
        <v>501</v>
      </c>
      <c r="D101" s="193" t="str">
        <f>IF(Tabela_SP1[[#This Row],[Modul]]&lt;&gt;"",Tabela_SP1[[#This Row],[Modul]],"")</f>
        <v>kip.08.2</v>
      </c>
      <c r="E101" s="193" t="str">
        <f>IF(Tabela_SP1[[#This Row],[Umiej.prakt.]]&lt;&gt;"",Tabela_SP1[[#This Row],[Umiej.prakt.]],"")</f>
        <v>up</v>
      </c>
      <c r="F101" s="327" t="str">
        <f>IF(Tabela_SP1[[#This Row],[Nazwa przedmiotu]]&lt;&gt;"",Tabela_SP1[[#This Row],[Nazwa przedmiotu]],"")</f>
        <v>Studenckie praktyki zawodowe</v>
      </c>
      <c r="G101" s="309" t="str">
        <f>IF(Tabela_SP1[[#This Row],[Prowadzacy]]&lt;&gt;"",Tabela_SP1[[#This Row],[Prowadzacy]],"")</f>
        <v/>
      </c>
      <c r="H101" s="155" t="str">
        <f>IF(Tabela_SP1[[#This Row],[Forma]]&lt;&gt;"",Tabela_SP1[[#This Row],[Forma]],"")</f>
        <v>praktyka</v>
      </c>
      <c r="I101" s="156" t="str">
        <f>IF(Tabela_SP1[[#This Row],[czy.ects]]&lt;&gt;"",Tabela_SP1[[#This Row],[czy.ects]],"")</f>
        <v>TAK</v>
      </c>
      <c r="J101" s="356" t="str" cm="1">
        <f t="array" ref="J101">_xlfn.IFS(AND(OR(Tabela_SP1[[#This Row],[Forma]]="praktyka",Tabela_SP1[[#This Row],[Forma]]="instruktaż"),Tabela_SP1[[#This Row],[sem1.godziny]]&gt;1),Tabela_SP1[[#This Row],[sem1.godziny]],Tabela_SP1[[#This Row],[sem1.godziny]]&gt;14,Tabela_SP1[[#This Row],[sem1.godziny]]*0.6,Tabela_SP1[[#This Row],[sem1.godziny]]&gt;1,Tabela_SP1[[#This Row],[sem1.godziny]],TRUE,"")</f>
        <v/>
      </c>
      <c r="K101" s="356" t="str" cm="1">
        <f t="array" ref="K101">IF(Tabela_SP1_nst[[#This Row],[czy.ects]]="TAK",_xlfn.IFS(AND(Tabela_SP1_nst[[#This Row],[sem1.godziny]]&gt;=$Q$200,Tabela_SP1_nst[[#This Row],[sem1.forma]]="z"),8,AND(Tabela_SP1_nst[[#This Row],[sem1.godziny]]&gt;=$I$200,Tabela_SP1_nst[[#This Row],[sem1.forma]]="z"),4,AND(Tabela_SP1_nst[[#This Row],[sem1.godziny]]&gt;=$H$200,Tabela_SP1_nst[[#This Row],[sem1.forma]]="e"),2,AND(Tabela_SP1_nst[[#This Row],[sem1.godziny]]&lt;$H$200,Tabela_SP1_nst[[#This Row],[sem1.forma]]="e"),1,AND(Tabela_SP1_nst[[#This Row],[sem1.godziny]]&gt;=$H$200,Tabela_SP1_nst[[#This Row],[sem1.forma]]="z"),2,AND(Tabela_SP1_nst[[#This Row],[sem1.godziny]]&lt;$H$200,Tabela_SP1_nst[[#This Row],[sem1.forma]]="z"),1,TRUE,""),"")</f>
        <v/>
      </c>
      <c r="L101" s="356" t="str">
        <f>IF(Tabela_SP1[[#This Row],[sem1.forma]]&lt;&gt;"",Tabela_SP1[[#This Row],[sem1.forma]],"")</f>
        <v/>
      </c>
      <c r="M101" s="357" t="str" cm="1">
        <f t="array" ref="M101">_xlfn.IFS(AND(OR(Tabela_SP1[[#This Row],[Forma]]="praktyka",Tabela_SP1[[#This Row],[Forma]]="instruktaż"),Tabela_SP1[[#This Row],[sem2.godziny]]&gt;1),Tabela_SP1[[#This Row],[sem2.godziny]],Tabela_SP1[[#This Row],[sem2.godziny]]&gt;14,Tabela_SP1[[#This Row],[sem2.godziny]]*0.6,Tabela_SP1[[#This Row],[sem2.godziny]]&gt;1,Tabela_SP1[[#This Row],[sem2.godziny]],TRUE,"")</f>
        <v/>
      </c>
      <c r="N101" s="357" t="str" cm="1">
        <f t="array" ref="N101">IF(Tabela_SP1_nst[[#This Row],[czy.ects]]="TAK",_xlfn.IFS(AND(Tabela_SP1_nst[[#This Row],[sem2.godziny]]&gt;=$Q$200,Tabela_SP1_nst[[#This Row],[sem2.forma]]="z"),8,AND(Tabela_SP1_nst[[#This Row],[sem2.godziny]]&gt;=$I$200,Tabela_SP1_nst[[#This Row],[sem2.forma]]="z"),4,AND(Tabela_SP1_nst[[#This Row],[sem2.godziny]]&gt;=$H$200,Tabela_SP1_nst[[#This Row],[sem2.forma]]="e"),2,AND(Tabela_SP1_nst[[#This Row],[sem2.godziny]]&lt;$H$200,Tabela_SP1_nst[[#This Row],[sem2.forma]]="e"),1,AND(Tabela_SP1_nst[[#This Row],[sem2.godziny]]&gt;=$H$200,Tabela_SP1_nst[[#This Row],[sem2.forma]]="z"),2,AND(Tabela_SP1_nst[[#This Row],[sem2.godziny]]&lt;$H$200,Tabela_SP1_nst[[#This Row],[sem2.forma]]="z"),1,TRUE,""),"")</f>
        <v/>
      </c>
      <c r="O101" s="357" t="str">
        <f>IF(Tabela_SP1[[#This Row],[sem2.forma]]&lt;&gt;"",Tabela_SP1[[#This Row],[sem2.forma]],"")</f>
        <v/>
      </c>
      <c r="P101" s="358" t="str" cm="1">
        <f t="array" ref="P101">_xlfn.IFS(AND(OR(Tabela_SP1[[#This Row],[Forma]]="praktyka",Tabela_SP1[[#This Row],[Forma]]="instruktaż"),Tabela_SP1[[#This Row],[sem3.godziny]]&gt;1),Tabela_SP1[[#This Row],[sem3.godziny]],Tabela_SP1[[#This Row],[sem3.godziny]]&gt;14,Tabela_SP1[[#This Row],[sem3.godziny]]*0.6,Tabela_SP1[[#This Row],[sem3.godziny]]&gt;1,Tabela_SP1[[#This Row],[sem3.godziny]],TRUE,"")</f>
        <v/>
      </c>
      <c r="Q101" s="359" t="str" cm="1">
        <f t="array" ref="Q101">IF(Tabela_SP1_nst[[#This Row],[czy.ects]]="TAK",_xlfn.IFS(AND(Tabela_SP1_nst[[#This Row],[sem3.godziny]]&gt;=$Q$200,Tabela_SP1_nst[[#This Row],[sem3.forma]]="z"),8,AND(Tabela_SP1_nst[[#This Row],[sem3.godziny]]&gt;=$I$200,Tabela_SP1_nst[[#This Row],[sem3.forma]]="z"),4,AND(Tabela_SP1_nst[[#This Row],[sem3.godziny]]&gt;=$H$200,Tabela_SP1_nst[[#This Row],[sem3.forma]]="e"),2,AND(Tabela_SP1_nst[[#This Row],[sem3.godziny]]&lt;$H$200,Tabela_SP1_nst[[#This Row],[sem3.forma]]="e"),1,AND(Tabela_SP1_nst[[#This Row],[sem3.godziny]]&gt;=$H$200,Tabela_SP1_nst[[#This Row],[sem3.forma]]="z"),2,AND(Tabela_SP1_nst[[#This Row],[sem3.godziny]]&lt;$H$200,Tabela_SP1_nst[[#This Row],[sem3.forma]]="z"),1,TRUE,""),"")</f>
        <v/>
      </c>
      <c r="R101" s="358" t="str">
        <f>IF(Tabela_SP1[[#This Row],[sem3.forma]]&lt;&gt;"",Tabela_SP1[[#This Row],[sem3.forma]],"")</f>
        <v/>
      </c>
      <c r="S101" s="355" cm="1">
        <f t="array" ref="S101">_xlfn.IFS(AND(OR(Tabela_SP1[[#This Row],[Forma]]="praktyka",Tabela_SP1[[#This Row],[Forma]]="instruktaż"),Tabela_SP1[[#This Row],[sem4.godziny]]&gt;1),Tabela_SP1[[#This Row],[sem4.godziny]],Tabela_SP1[[#This Row],[sem4.godziny]]&gt;14,Tabela_SP1[[#This Row],[sem4.godziny]]*0.6,Tabela_SP1[[#This Row],[sem4.godziny]]&gt;1,Tabela_SP1[[#This Row],[sem4.godziny]],TRUE,"")</f>
        <v>200</v>
      </c>
      <c r="T101" s="355" cm="1">
        <f t="array" ref="T101">IF(Tabela_SP1_nst[[#This Row],[czy.ects]]="TAK",_xlfn.IFS(AND(Tabela_SP1_nst[[#This Row],[sem4.godziny]]&gt;=$Q$200,Tabela_SP1_nst[[#This Row],[sem4.forma]]="z"),8,AND(Tabela_SP1_nst[[#This Row],[sem4.godziny]]&gt;=$I$200,Tabela_SP1_nst[[#This Row],[sem4.forma]]="z"),4,AND(Tabela_SP1_nst[[#This Row],[sem4.godziny]]&gt;=$H$200,Tabela_SP1_nst[[#This Row],[sem4.forma]]="e"),2,AND(Tabela_SP1_nst[[#This Row],[sem4.godziny]]&lt;$H$200,Tabela_SP1_nst[[#This Row],[sem4.forma]]="e"),1,AND(Tabela_SP1_nst[[#This Row],[sem4.godziny]]&gt;=$H$200,Tabela_SP1_nst[[#This Row],[sem4.forma]]="z"),2,AND(Tabela_SP1_nst[[#This Row],[sem4.godziny]]&lt;$H$200,Tabela_SP1_nst[[#This Row],[sem4.forma]]="z"),1,TRUE,""),"")</f>
        <v>8</v>
      </c>
      <c r="U101" s="355" t="str">
        <f>IF(Tabela_SP1[[#This Row],[sem4.forma]]&lt;&gt;"",Tabela_SP1[[#This Row],[sem4.forma]],"")</f>
        <v>z</v>
      </c>
      <c r="V101" s="216" cm="1">
        <f t="array" ref="V101">_xlfn.IFS(AND(OR(Tabela_SP1[[#This Row],[Forma]]="praktyka",Tabela_SP1[[#This Row],[Forma]]="instruktaż"),Tabela_SP1[[#This Row],[sem5.godziny]]&gt;1),Tabela_SP1[[#This Row],[sem5.godziny]],Tabela_SP1[[#This Row],[sem5.godziny]]&gt;14,Tabela_SP1[[#This Row],[sem5.godziny]]*0.6,Tabela_SP1[[#This Row],[sem5.godziny]]&gt;1,Tabela_SP1[[#This Row],[sem5.godziny]],TRUE,"")</f>
        <v>200</v>
      </c>
      <c r="W101" s="216" cm="1">
        <f t="array" ref="W101">IF(Tabela_SP1_nst[[#This Row],[czy.ects]]="TAK",_xlfn.IFS(AND(Tabela_SP1_nst[[#This Row],[sem5.godziny]]&gt;=$Q$200,Tabela_SP1_nst[[#This Row],[sem5.forma]]="z"),8,AND(Tabela_SP1_nst[[#This Row],[sem5.godziny]]&gt;=$I$200,Tabela_SP1_nst[[#This Row],[sem5.forma]]="z"),4,AND(Tabela_SP1_nst[[#This Row],[sem5.godziny]]&gt;=$H$200,Tabela_SP1_nst[[#This Row],[sem5.forma]]="e"),2,AND(Tabela_SP1_nst[[#This Row],[sem5.godziny]]&lt;$H$200,Tabela_SP1_nst[[#This Row],[sem5.forma]]="e"),1,AND(Tabela_SP1_nst[[#This Row],[sem5.godziny]]&gt;=$H$200,Tabela_SP1_nst[[#This Row],[sem5.forma]]="z"),2,AND(Tabela_SP1_nst[[#This Row],[sem5.godziny]]&lt;$H$200,Tabela_SP1_nst[[#This Row],[sem5.forma]]="z"),1,TRUE,""),"")</f>
        <v>8</v>
      </c>
      <c r="X101" s="216" t="str">
        <f>IF(Tabela_SP1[[#This Row],[sem5.forma]]&lt;&gt;"",Tabela_SP1[[#This Row],[sem5.forma]],"")</f>
        <v>z</v>
      </c>
      <c r="Y101" s="217" cm="1">
        <f t="array" ref="Y101">_xlfn.IFS(AND(OR(Tabela_SP1[[#This Row],[Forma]]="praktyka",Tabela_SP1[[#This Row],[Forma]]="instruktaż"),Tabela_SP1[[#This Row],[sem6.godziny]]&gt;1),Tabela_SP1[[#This Row],[sem6.godziny]],Tabela_SP1[[#This Row],[sem6.godziny]]&gt;14,Tabela_SP1[[#This Row],[sem6.godziny]]*0.6,Tabela_SP1[[#This Row],[sem6.godziny]]&gt;1,Tabela_SP1[[#This Row],[sem6.godziny]],TRUE,"")</f>
        <v>208</v>
      </c>
      <c r="Z101" s="217" cm="1">
        <f t="array" ref="Z101">IF(Tabela_SP1_nst[[#This Row],[czy.ects]]="TAK",_xlfn.IFS(AND(Tabela_SP1_nst[[#This Row],[sem6.godziny]]&gt;=$Q$200,Tabela_SP1_nst[[#This Row],[sem6.forma]]="z"),8,AND(Tabela_SP1_nst[[#This Row],[sem6.godziny]]&gt;=$I$200,Tabela_SP1_nst[[#This Row],[sem6.forma]]="z"),4,AND(Tabela_SP1_nst[[#This Row],[sem6.godziny]]&gt;=$H$200,Tabela_SP1_nst[[#This Row],[sem6.forma]]="e"),2,AND(Tabela_SP1_nst[[#This Row],[sem6.godziny]]&lt;$H$200,Tabela_SP1_nst[[#This Row],[sem6.forma]]="e"),1,AND(Tabela_SP1_nst[[#This Row],[sem6.godziny]]&gt;=$H$200,Tabela_SP1_nst[[#This Row],[sem6.forma]]="z"),2,AND(Tabela_SP1_nst[[#This Row],[sem6.godziny]]&lt;$H$200,Tabela_SP1_nst[[#This Row],[sem6.forma]]="z"),1,TRUE,""),"")</f>
        <v>8</v>
      </c>
      <c r="AA101" s="217" t="str">
        <f>IF(Tabela_SP1[[#This Row],[sem6.forma]]&lt;&gt;"",Tabela_SP1[[#This Row],[sem6.forma]],"")</f>
        <v>z</v>
      </c>
      <c r="AB101" s="218" t="str" cm="1">
        <f t="array" ref="AB101">_xlfn.IFS(AND(OR(Tabela_SP1[[#This Row],[Forma]]="praktyka",Tabela_SP1[[#This Row],[Forma]]="instruktaż"),Tabela_SP1[[#This Row],[sem7.godziny]]&gt;1),Tabela_SP1[[#This Row],[sem7.godziny]],Tabela_SP1[[#This Row],[sem7.godziny]]&gt;14,Tabela_SP1[[#This Row],[sem7.godziny]]*0.6,Tabela_SP1[[#This Row],[sem7.godziny]]&gt;1,Tabela_SP1[[#This Row],[sem7.godziny]],TRUE,"")</f>
        <v/>
      </c>
      <c r="AC101" s="218" t="str" cm="1">
        <f t="array" ref="AC101">IF(Tabela_SP1_nst[[#This Row],[czy.ects]]="TAK",_xlfn.IFS(AND(Tabela_SP1_nst[[#This Row],[sem7.godziny]]&gt;=$Q$200,Tabela_SP1_nst[[#This Row],[sem7.forma]]="z"),8,AND(Tabela_SP1_nst[[#This Row],[sem7.godziny]]&gt;=$I$200,Tabela_SP1_nst[[#This Row],[sem7.forma]]="z"),4,AND(Tabela_SP1_nst[[#This Row],[sem7.godziny]]&gt;=$H$200,Tabela_SP1_nst[[#This Row],[sem7.forma]]="e"),2,AND(Tabela_SP1_nst[[#This Row],[sem7.godziny]]&lt;$H$200,Tabela_SP1_nst[[#This Row],[sem7.forma]]="e"),1,AND(Tabela_SP1_nst[[#This Row],[sem7.godziny]]&gt;=$H$200,Tabela_SP1_nst[[#This Row],[sem7.forma]]="z"),2,AND(Tabela_SP1_nst[[#This Row],[sem7.godziny]]&lt;$H$200,Tabela_SP1_nst[[#This Row],[sem7.forma]]="z"),1,TRUE,""),"")</f>
        <v/>
      </c>
      <c r="AD101" s="218" t="str">
        <f>IF(Tabela_SP1[[#This Row],[sem7.forma]]&lt;&gt;"",Tabela_SP1[[#This Row],[sem7.forma]],"")</f>
        <v/>
      </c>
      <c r="AE101" s="219" t="str" cm="1">
        <f t="array" ref="AE101">_xlfn.IFS(AND(OR(Tabela_SP1[[#This Row],[Forma]]="praktyka",Tabela_SP1[[#This Row],[Forma]]="instruktaż"),Tabela_SP1[[#This Row],[sem8.godziny]]&gt;1),Tabela_SP1[[#This Row],[sem8.godziny]],Tabela_SP1[[#This Row],[sem8.godziny]]&gt;14,Tabela_SP1[[#This Row],[sem8.godziny]]*0.6,Tabela_SP1[[#This Row],[sem8.godziny]]&gt;1,Tabela_SP1[[#This Row],[sem8.godziny]],TRUE,"")</f>
        <v/>
      </c>
      <c r="AF101" s="219" t="str" cm="1">
        <f t="array" ref="AF101">IF(Tabela_SP1_nst[[#This Row],[czy.ects]]="TAK",_xlfn.IFS(AND(Tabela_SP1_nst[[#This Row],[sem8.godziny]]&gt;=$Q$200,Tabela_SP1_nst[[#This Row],[sem8.forma]]="z"),8,AND(Tabela_SP1_nst[[#This Row],[sem8.godziny]]&gt;=$I$200,Tabela_SP1_nst[[#This Row],[sem8.forma]]="z"),4,AND(Tabela_SP1_nst[[#This Row],[sem8.godziny]]&gt;=$H$200,Tabela_SP1_nst[[#This Row],[sem8.forma]]="e"),2,AND(Tabela_SP1_nst[[#This Row],[sem8.godziny]]&lt;$H$200,Tabela_SP1_nst[[#This Row],[sem8.forma]]="e"),1,AND(Tabela_SP1_nst[[#This Row],[sem8.godziny]]&gt;=$H$200,Tabela_SP1_nst[[#This Row],[sem8.forma]]="z"),2,AND(Tabela_SP1_nst[[#This Row],[sem8.godziny]]&lt;$H$200,Tabela_SP1_nst[[#This Row],[sem8.forma]]="z"),1,TRUE,""),"")</f>
        <v/>
      </c>
      <c r="AG101" s="219" t="str">
        <f>IF(Tabela_SP1[[#This Row],[sem8.forma]]&lt;&gt;"",Tabela_SP1[[#This Row],[sem8.forma]],"")</f>
        <v/>
      </c>
      <c r="AH101" s="220" t="str" cm="1">
        <f t="array" ref="AH101">_xlfn.IFS(AND(OR(Tabela_SP1[[#This Row],[Forma]]="praktyka",Tabela_SP1[[#This Row],[Forma]]="instruktaż"),Tabela_SP1[[#This Row],[sem9.godziny]]&gt;1),Tabela_SP1[[#This Row],[sem9.godziny]],Tabela_SP1[[#This Row],[sem9.godziny]]&gt;14,Tabela_SP1[[#This Row],[sem9.godziny]]*0.6,Tabela_SP1[[#This Row],[sem9.godziny]]&gt;1,Tabela_SP1[[#This Row],[sem9.godziny]],TRUE,"")</f>
        <v/>
      </c>
      <c r="AI101" s="220" t="str" cm="1">
        <f t="array" ref="AI101">IF(Tabela_SP1_nst[[#This Row],[czy.ects]]="TAK",_xlfn.IFS(AND(Tabela_SP1_nst[[#This Row],[sem9.godziny]]&gt;=$Q$200,Tabela_SP1_nst[[#This Row],[sem9.forma]]="z"),8,AND(Tabela_SP1_nst[[#This Row],[sem9.godziny]]&gt;=$I$200,Tabela_SP1_nst[[#This Row],[sem9.forma]]="z"),4,AND(Tabela_SP1_nst[[#This Row],[sem9.godziny]]&gt;=$H$200,Tabela_SP1_nst[[#This Row],[sem9.forma]]="e"),2,AND(Tabela_SP1_nst[[#This Row],[sem9.godziny]]&lt;$H$200,Tabela_SP1_nst[[#This Row],[sem9.forma]]="e"),1,AND(Tabela_SP1_nst[[#This Row],[sem9.godziny]]&gt;=$H$200,Tabela_SP1_nst[[#This Row],[sem9.forma]]="z"),2,AND(Tabela_SP1_nst[[#This Row],[sem9.godziny]]&lt;$H$200,Tabela_SP1_nst[[#This Row],[sem9.forma]]="z"),1,TRUE,""),"")</f>
        <v/>
      </c>
      <c r="AJ101" s="220" t="str">
        <f>IF(Tabela_SP1[[#This Row],[sem9.forma]]&lt;&gt;"",Tabela_SP1[[#This Row],[sem9.forma]],"")</f>
        <v/>
      </c>
      <c r="AK101" s="221" t="str" cm="1">
        <f t="array" ref="AK101">_xlfn.IFS(AND(OR(Tabela_SP1[[#This Row],[Forma]]="praktyka",Tabela_SP1[[#This Row],[Forma]]="instruktaż"),Tabela_SP1[[#This Row],[sem10.godziny]]&gt;1),Tabela_SP1[[#This Row],[sem10.godziny]],Tabela_SP1[[#This Row],[sem10.godziny]]&gt;14,Tabela_SP1[[#This Row],[sem10.godziny]]*0.6,Tabela_SP1[[#This Row],[sem10.godziny]]&gt;1,Tabela_SP1[[#This Row],[sem10.godziny]],TRUE,"")</f>
        <v/>
      </c>
      <c r="AL101" s="221" t="str" cm="1">
        <f t="array" ref="AL101">IF(Tabela_SP1_nst[[#This Row],[czy.ects]]="TAK",_xlfn.IFS(AND(Tabela_SP1_nst[[#This Row],[sem10.godziny]]&gt;=$Q$200,Tabela_SP1_nst[[#This Row],[sem10.forma]]="z"),8,AND(Tabela_SP1_nst[[#This Row],[sem10.godziny]]&gt;=$I$200,Tabela_SP1_nst[[#This Row],[sem10.forma]]="z"),4,AND(Tabela_SP1_nst[[#This Row],[sem10.godziny]]&gt;=$H$200,Tabela_SP1_nst[[#This Row],[sem10.forma]]="e"),2,AND(Tabela_SP1_nst[[#This Row],[sem10.godziny]]&lt;$H$200,Tabela_SP1_nst[[#This Row],[sem10.forma]]="e"),1,AND(Tabela_SP1_nst[[#This Row],[sem10.godziny]]&gt;=$H$200,Tabela_SP1_nst[[#This Row],[sem10.forma]]="z"),2,AND(Tabela_SP1_nst[[#This Row],[sem10.godziny]]&lt;$H$200,Tabela_SP1_nst[[#This Row],[sem10.forma]]="z"),1,TRUE,""),"")</f>
        <v/>
      </c>
      <c r="AM101" s="221" t="str">
        <f>IF(Tabela_SP1[[#This Row],[sem10.forma]]&lt;&gt;"",Tabela_SP1[[#This Row],[sem10.forma]],"")</f>
        <v/>
      </c>
      <c r="AN101" s="222">
        <f>SUM(Tabela_SP1_nst[[#This Row],[sem1.ects]],Tabela_SP1_nst[[#This Row],[sem2.ects]],Tabela_SP1_nst[[#This Row],[sem3.ects]],Tabela_SP1_nst[[#This Row],[sem4.ects]],Tabela_SP1_nst[[#This Row],[sem5.ects]],Tabela_SP1_nst[[#This Row],[sem6.ects]],Tabela_SP1_nst[[#This Row],[sem7.ects]],Tabela_SP1_nst[[#This Row],[sem8.ects]],Tabela_SP1_nst[[#This Row],[sem9.ects]],Tabela_SP1_nst[[#This Row],[sem10.ects]])</f>
        <v>24</v>
      </c>
      <c r="AO101" s="223">
        <f>IF(ISERR(SEARCH("UP",Tabela_SP1_nst[[#This Row],[Umiej.prakt.]],1)),0,Tabela_SP1_nst[[#This Row],[ects.razem]])</f>
        <v>24</v>
      </c>
      <c r="AP101" s="224">
        <f>IF(Tabela_SP1_nst[[#This Row],[czy.ects]]="TAK",ROUND((SUM(Tabela_SP1_nst[[#This Row],[godziny.konsultacja]],Tabela_SP1_nst[[#This Row],[godziny.egzamin]],Tabela_SP1_nst[[#This Row],[godziny.zajec.razem]])/25)/0.5,0)*0.5,0)</f>
        <v>27</v>
      </c>
      <c r="AQ101" s="225">
        <f>SUM(Tabela_SP1_nst[[#This Row],[godziny.samoksztalcenie]],Tabela_SP1_nst[[#This Row],[godziny.konsultacja]],Tabela_SP1_nst[[#This Row],[godziny.egzamin]],Tabela_SP1_nst[[#This Row],[godziny.zajec.razem]])</f>
        <v>1008</v>
      </c>
      <c r="AR101" s="226">
        <f>Tabela_SP1[[#This Row],[godziny.samoksztalcenie]]+(Tabela_SP1[[#This Row],[godziny.zajec.razem]]-Tabela_SP1_nst[[#This Row],[godziny.zajec.razem]])</f>
        <v>336</v>
      </c>
      <c r="AS101" s="227">
        <f>Tabela_SP1[[#This Row],[godziny.konsultacja]]</f>
        <v>60</v>
      </c>
      <c r="AT101" s="228">
        <f>Tabela_SP1[[#This Row],[godziny.egzamin]]</f>
        <v>4</v>
      </c>
      <c r="AU101" s="229">
        <f>SUM(Tabela_SP1_nst[[#This Row],[sem1.godziny]],Tabela_SP1_nst[[#This Row],[sem2.godziny]],Tabela_SP1_nst[[#This Row],[sem3.godziny]],Tabela_SP1_nst[[#This Row],[sem4.godziny]],Tabela_SP1_nst[[#This Row],[sem5.godziny]],Tabela_SP1_nst[[#This Row],[sem6.godziny]],Tabela_SP1_nst[[#This Row],[sem7.godziny]],Tabela_SP1_nst[[#This Row],[sem8.godziny]],Tabela_SP1_nst[[#This Row],[sem9.godziny]],Tabela_SP1_nst[[#This Row],[sem10.godziny]])</f>
        <v>608</v>
      </c>
      <c r="AV101" s="326">
        <f>IF(Tabela_SP1_nst[[#This Row],[ects.bezposr.nauczyciel]],Tabela_SP1_nst[[#This Row],[ects.bezposr.nauczyciel]]/Tabela_SP1_nst[[#This Row],[ects.razem]],0)</f>
        <v>1.125</v>
      </c>
      <c r="AW101" s="49"/>
    </row>
    <row r="102" spans="1:49" ht="7.5" customHeight="1" thickBot="1" x14ac:dyDescent="0.35">
      <c r="A102" s="207"/>
      <c r="B102" s="46"/>
      <c r="C102" s="273"/>
      <c r="D102" s="274"/>
      <c r="E102" s="43"/>
      <c r="F102" s="275"/>
      <c r="G102" s="276"/>
      <c r="H102" s="47"/>
      <c r="I102" s="48"/>
      <c r="J102" s="277"/>
      <c r="K102" s="277"/>
      <c r="L102" s="278"/>
      <c r="M102" s="279"/>
      <c r="N102" s="279"/>
      <c r="O102" s="279"/>
      <c r="P102" s="280"/>
      <c r="Q102" s="281"/>
      <c r="R102" s="280"/>
      <c r="S102" s="282"/>
      <c r="T102" s="283"/>
      <c r="U102" s="283"/>
      <c r="V102" s="284"/>
      <c r="W102" s="284"/>
      <c r="X102" s="284"/>
      <c r="Y102" s="285"/>
      <c r="Z102" s="285"/>
      <c r="AA102" s="285"/>
      <c r="AB102" s="286"/>
      <c r="AC102" s="286"/>
      <c r="AD102" s="286"/>
      <c r="AE102" s="287"/>
      <c r="AF102" s="288"/>
      <c r="AG102" s="289"/>
      <c r="AH102" s="290"/>
      <c r="AI102" s="291"/>
      <c r="AJ102" s="292"/>
      <c r="AK102" s="278"/>
      <c r="AL102" s="293"/>
      <c r="AM102" s="294"/>
      <c r="AN102" s="49"/>
      <c r="AO102" s="207"/>
      <c r="AP102" s="207"/>
      <c r="AQ102" s="207"/>
      <c r="AR102" s="207"/>
      <c r="AS102" s="207"/>
      <c r="AT102" s="207"/>
      <c r="AU102" s="207"/>
      <c r="AV102" s="207"/>
      <c r="AW102" s="207"/>
    </row>
    <row r="103" spans="1:49" ht="25.5" customHeight="1" thickBot="1" x14ac:dyDescent="0.35">
      <c r="A103" s="207"/>
      <c r="B103" s="784" t="str">
        <f>'PLAN ST'!B103</f>
        <v>RAZEM W GRUPIE SPECJALNOŚCI: Płace i kadry</v>
      </c>
      <c r="C103" s="788"/>
      <c r="D103" s="788"/>
      <c r="E103" s="788"/>
      <c r="F103" s="788"/>
      <c r="G103" s="788"/>
      <c r="H103" s="788"/>
      <c r="I103" s="788"/>
      <c r="J103" s="98">
        <f>SUM(Tabela_SP2_nst[sem1.godziny])</f>
        <v>0</v>
      </c>
      <c r="K103" s="98">
        <f>SUM(Tabela_SP2_nst[sem1.ects])</f>
        <v>0</v>
      </c>
      <c r="L103" s="98"/>
      <c r="M103" s="98">
        <f>SUM(Tabela_SP2_nst[sem2.godziny])</f>
        <v>0</v>
      </c>
      <c r="N103" s="98">
        <f>SUM(Tabela_SP2_nst[sem2.ects])</f>
        <v>0</v>
      </c>
      <c r="O103" s="98"/>
      <c r="P103" s="98">
        <f>SUM(Tabela_SP2_nst[sem3.godziny])</f>
        <v>0</v>
      </c>
      <c r="Q103" s="98">
        <f>SUM(Tabela_SP2_nst[sem3.ects])</f>
        <v>0</v>
      </c>
      <c r="R103" s="98"/>
      <c r="S103" s="98">
        <f>SUM(Tabela_SP2_nst[sem4.godziny])</f>
        <v>260</v>
      </c>
      <c r="T103" s="98">
        <f>SUM(Tabela_SP2_nst[sem4.ects])</f>
        <v>15</v>
      </c>
      <c r="U103" s="98"/>
      <c r="V103" s="98">
        <f>SUM(Tabela_SP2_nst[sem5.godziny])</f>
        <v>296</v>
      </c>
      <c r="W103" s="98">
        <f>SUM(Tabela_SP2_nst[sem5.ects])</f>
        <v>20</v>
      </c>
      <c r="X103" s="98"/>
      <c r="Y103" s="98">
        <f>SUM(Tabela_SP2_nst[sem6.godziny])</f>
        <v>304</v>
      </c>
      <c r="Z103" s="98">
        <f>SUM(Tabela_SP2_nst[sem6.ects])</f>
        <v>21</v>
      </c>
      <c r="AA103" s="98"/>
      <c r="AB103" s="98">
        <f>SUM(Tabela_SP2_nst[sem7.godziny])</f>
        <v>0</v>
      </c>
      <c r="AC103" s="98">
        <f>SUM(Tabela_SP2_nst[sem7.ects])</f>
        <v>0</v>
      </c>
      <c r="AD103" s="98"/>
      <c r="AE103" s="98">
        <f>SUM(Tabela_SP2_nst[sem5.godziny])</f>
        <v>296</v>
      </c>
      <c r="AF103" s="98">
        <f>SUM(Tabela_SP2_nst[sem5.ects])</f>
        <v>20</v>
      </c>
      <c r="AG103" s="98"/>
      <c r="AH103" s="98">
        <f>SUM(Tabela_SP2_nst[sem6.godziny])</f>
        <v>304</v>
      </c>
      <c r="AI103" s="98">
        <f>SUM(Tabela_SP2_nst[sem6.ects])</f>
        <v>21</v>
      </c>
      <c r="AJ103" s="98"/>
      <c r="AK103" s="98">
        <f>SUM(Tabela_SP2_nst[sem7.godziny])</f>
        <v>0</v>
      </c>
      <c r="AL103" s="98">
        <f>SUM(Tabela_SP2_nst[sem7.ects])</f>
        <v>0</v>
      </c>
      <c r="AM103" s="98"/>
      <c r="AN103" s="98">
        <f>SUM(Tabela_SP2_nst[ects.razem])</f>
        <v>56</v>
      </c>
      <c r="AO103" s="98">
        <f>SUM(Tabela_SP2_nst[ects.umiej.prakt.])</f>
        <v>56</v>
      </c>
      <c r="AP103" s="98">
        <f>SUM(Tabela_SP2_nst[ects.bezposr.nauczyciel])</f>
        <v>38.5</v>
      </c>
      <c r="AQ103" s="98">
        <f>SUM(Tabela_SP2_nst[godziny.razem.student])</f>
        <v>1689</v>
      </c>
      <c r="AR103" s="98">
        <f>SUM(Tabela_SP2_nst[godziny.samoksztalcenie])</f>
        <v>698</v>
      </c>
      <c r="AS103" s="98">
        <f>SUM(Tabela_SP2_nst[godziny.konsultacja])</f>
        <v>97</v>
      </c>
      <c r="AT103" s="98">
        <f>SUM(Tabela_SP2_nst[godziny.egzamin])</f>
        <v>34</v>
      </c>
      <c r="AU103" s="98">
        <f>SUM(Tabela_SP2_nst[godziny.zajec.razem])</f>
        <v>860</v>
      </c>
      <c r="AV103" s="6"/>
      <c r="AW103" s="49"/>
    </row>
    <row r="104" spans="1:49" ht="25.5" hidden="1" customHeight="1" x14ac:dyDescent="0.3">
      <c r="A104" s="207"/>
      <c r="B104" s="204" t="s">
        <v>374</v>
      </c>
      <c r="C104" s="346" t="s">
        <v>373</v>
      </c>
      <c r="D104" s="196" t="s">
        <v>372</v>
      </c>
      <c r="E104" s="196" t="s">
        <v>371</v>
      </c>
      <c r="F104" s="345" t="s">
        <v>368</v>
      </c>
      <c r="G104" s="330" t="s">
        <v>369</v>
      </c>
      <c r="H104" s="153" t="s">
        <v>370</v>
      </c>
      <c r="I104" s="154" t="s">
        <v>375</v>
      </c>
      <c r="J104" s="259" t="s">
        <v>376</v>
      </c>
      <c r="K104" s="259" t="s">
        <v>377</v>
      </c>
      <c r="L104" s="271" t="s">
        <v>378</v>
      </c>
      <c r="M104" s="260" t="s">
        <v>379</v>
      </c>
      <c r="N104" s="260" t="s">
        <v>380</v>
      </c>
      <c r="O104" s="260" t="s">
        <v>381</v>
      </c>
      <c r="P104" s="320" t="s">
        <v>382</v>
      </c>
      <c r="Q104" s="261" t="s">
        <v>383</v>
      </c>
      <c r="R104" s="320" t="s">
        <v>384</v>
      </c>
      <c r="S104" s="262" t="s">
        <v>385</v>
      </c>
      <c r="T104" s="262" t="s">
        <v>386</v>
      </c>
      <c r="U104" s="262" t="s">
        <v>387</v>
      </c>
      <c r="V104" s="263" t="s">
        <v>388</v>
      </c>
      <c r="W104" s="263" t="s">
        <v>389</v>
      </c>
      <c r="X104" s="263" t="s">
        <v>390</v>
      </c>
      <c r="Y104" s="264" t="s">
        <v>391</v>
      </c>
      <c r="Z104" s="264" t="s">
        <v>392</v>
      </c>
      <c r="AA104" s="264" t="s">
        <v>393</v>
      </c>
      <c r="AB104" s="265" t="s">
        <v>394</v>
      </c>
      <c r="AC104" s="265" t="s">
        <v>395</v>
      </c>
      <c r="AD104" s="265" t="s">
        <v>396</v>
      </c>
      <c r="AE104" s="321" t="s">
        <v>409</v>
      </c>
      <c r="AF104" s="321" t="s">
        <v>410</v>
      </c>
      <c r="AG104" s="321" t="s">
        <v>411</v>
      </c>
      <c r="AH104" s="322" t="s">
        <v>412</v>
      </c>
      <c r="AI104" s="322" t="s">
        <v>413</v>
      </c>
      <c r="AJ104" s="322" t="s">
        <v>414</v>
      </c>
      <c r="AK104" s="323" t="s">
        <v>415</v>
      </c>
      <c r="AL104" s="323" t="s">
        <v>416</v>
      </c>
      <c r="AM104" s="323" t="s">
        <v>417</v>
      </c>
      <c r="AN104" s="324" t="s">
        <v>397</v>
      </c>
      <c r="AO104" s="266" t="s">
        <v>398</v>
      </c>
      <c r="AP104" s="267" t="s">
        <v>399</v>
      </c>
      <c r="AQ104" s="268" t="s">
        <v>400</v>
      </c>
      <c r="AR104" s="269" t="s">
        <v>401</v>
      </c>
      <c r="AS104" s="270" t="s">
        <v>402</v>
      </c>
      <c r="AT104" s="271" t="s">
        <v>403</v>
      </c>
      <c r="AU104" s="325" t="s">
        <v>404</v>
      </c>
      <c r="AV104" s="272" t="s">
        <v>405</v>
      </c>
      <c r="AW104" s="49"/>
    </row>
    <row r="105" spans="1:49" ht="25.5" customHeight="1" x14ac:dyDescent="0.3">
      <c r="A105" s="207"/>
      <c r="B105" s="331" t="str">
        <f>IF(Tabela_SP2[[#This Row],[kod.isced]]&lt;&gt;"",Tabela_SP2[[#This Row],[kod.isced]],"")</f>
        <v>0421</v>
      </c>
      <c r="C105" s="193" t="str">
        <f>IF(Tabela_SP2[[#This Row],[kod.dziedziny]]&lt;&gt;"",Tabela_SP2[[#This Row],[kod.dziedziny]],"")</f>
        <v>507</v>
      </c>
      <c r="D105" s="193" t="str">
        <f>IF(Tabela_SP2[[#This Row],[Modul]]&lt;&gt;"",Tabela_SP2[[#This Row],[Modul]],"")</f>
        <v>pik.01.1</v>
      </c>
      <c r="E105" s="193" t="str">
        <f>IF(Tabela_SP2[[#This Row],[Umiej.prakt.]]&lt;&gt;"",Tabela_SP2[[#This Row],[Umiej.prakt.]],"")</f>
        <v>up</v>
      </c>
      <c r="F105" s="327" t="str">
        <f>IF(Tabela_SP2[[#This Row],[Nazwa przedmiotu]]&lt;&gt;"",Tabela_SP2[[#This Row],[Nazwa przedmiotu]],"")</f>
        <v>Prawo pracy</v>
      </c>
      <c r="G105" s="309" t="str">
        <f>IF(Tabela_SP2[[#This Row],[Prowadzacy]]&lt;&gt;"",Tabela_SP2[[#This Row],[Prowadzacy]],"")</f>
        <v/>
      </c>
      <c r="H105" s="155" t="str">
        <f>IF(Tabela_SP2[[#This Row],[Forma]]&lt;&gt;"",Tabela_SP2[[#This Row],[Forma]],"")</f>
        <v>konwersatorium</v>
      </c>
      <c r="I105" s="156" t="str">
        <f>IF(Tabela_SP2[[#This Row],[czy.ects]]&lt;&gt;"",Tabela_SP2[[#This Row],[czy.ects]],"")</f>
        <v>TAK</v>
      </c>
      <c r="J105" s="356" t="str" cm="1">
        <f t="array" ref="J105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05" s="356" t="str" cm="1">
        <f t="array" ref="K105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05" s="356" t="str">
        <f>IF(Tabela_SP2[[#This Row],[sem1.forma]]&lt;&gt;"",Tabela_SP2[[#This Row],[sem1.forma]],"")</f>
        <v/>
      </c>
      <c r="M105" s="357" t="str" cm="1">
        <f t="array" ref="M105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05" s="357" t="str" cm="1">
        <f t="array" ref="N105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05" s="357" t="str">
        <f>IF(Tabela_SP2[[#This Row],[sem2.forma]]&lt;&gt;"",Tabela_SP2[[#This Row],[sem2.forma]],"")</f>
        <v/>
      </c>
      <c r="P105" s="358" t="str" cm="1">
        <f t="array" ref="P105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05" s="359" t="str" cm="1">
        <f t="array" ref="Q105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05" s="358" t="str">
        <f>IF(Tabela_SP2[[#This Row],[sem3.forma]]&lt;&gt;"",Tabela_SP2[[#This Row],[sem3.forma]],"")</f>
        <v/>
      </c>
      <c r="S105" s="355" cm="1">
        <f t="array" ref="S105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>18</v>
      </c>
      <c r="T105" s="355">
        <v>3</v>
      </c>
      <c r="U105" s="355" t="str">
        <f>IF(Tabela_SP2[[#This Row],[sem4.forma]]&lt;&gt;"",Tabela_SP2[[#This Row],[sem4.forma]],"")</f>
        <v>z</v>
      </c>
      <c r="V105" s="180" t="str" cm="1">
        <f t="array" ref="V105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05" s="180" t="str" cm="1">
        <f t="array" ref="W105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05" s="180" t="str">
        <f>IF(Tabela_SP2[[#This Row],[sem5.forma]]&lt;&gt;"",Tabela_SP2[[#This Row],[sem5.forma]],"")</f>
        <v/>
      </c>
      <c r="Y105" s="181" t="str" cm="1">
        <f t="array" ref="Y105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05" s="181" t="str" cm="1">
        <f t="array" ref="Z105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05" s="181" t="str">
        <f>IF(Tabela_SP2[[#This Row],[sem6.forma]]&lt;&gt;"",Tabela_SP2[[#This Row],[sem6.forma]],"")</f>
        <v/>
      </c>
      <c r="AB105" s="182" t="str" cm="1">
        <f t="array" ref="AB105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05" s="182" t="str" cm="1">
        <f t="array" ref="AC105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05" s="182" t="str">
        <f>IF(Tabela_SP2[[#This Row],[sem7.forma]]&lt;&gt;"",Tabela_SP2[[#This Row],[sem7.forma]],"")</f>
        <v/>
      </c>
      <c r="AE105" s="183" t="str" cm="1">
        <f t="array" ref="AE105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05" s="183" t="str" cm="1">
        <f t="array" ref="AF105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05" s="183" t="str">
        <f>IF(Tabela_SP2[[#This Row],[sem8.forma]]&lt;&gt;"",Tabela_SP2[[#This Row],[sem8.forma]],"")</f>
        <v/>
      </c>
      <c r="AH105" s="184" t="str" cm="1">
        <f t="array" ref="AH105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05" s="184" t="str" cm="1">
        <f t="array" ref="AI105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05" s="184" t="str">
        <f>IF(Tabela_SP2[[#This Row],[sem9.forma]]&lt;&gt;"",Tabela_SP2[[#This Row],[sem9.forma]],"")</f>
        <v/>
      </c>
      <c r="AK105" s="185" t="str" cm="1">
        <f t="array" ref="AK105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05" s="185" t="str" cm="1">
        <f t="array" ref="AL105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05" s="185" t="str">
        <f>IF(Tabela_SP2[[#This Row],[sem10.forma]]&lt;&gt;"",Tabela_SP2[[#This Row],[sem10.forma]],"")</f>
        <v/>
      </c>
      <c r="AN105" s="186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05" s="223">
        <f>IF(ISERR(SEARCH("UP",Tabela_SP2_nst[[#This Row],[Umiej.prakt.]],1)),0,Tabela_SP2_nst[[#This Row],[ects.razem]])</f>
        <v>3</v>
      </c>
      <c r="AP105" s="224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05" s="225">
        <f>SUM(Tabela_SP2_nst[[#This Row],[godziny.samoksztalcenie]],Tabela_SP2_nst[[#This Row],[godziny.konsultacja]],Tabela_SP2_nst[[#This Row],[godziny.egzamin]],Tabela_SP2_nst[[#This Row],[godziny.zajec.razem]])</f>
        <v>52</v>
      </c>
      <c r="AR105" s="226">
        <f>Tabela_SP2[[#This Row],[godziny.samoksztalcenie]]+(Tabela_SP2[[#This Row],[godziny.zajec.razem]]-Tabela_SP2_nst[[#This Row],[godziny.zajec.razem]])</f>
        <v>29</v>
      </c>
      <c r="AS105" s="227">
        <f>Tabela_SP2[[#This Row],[godziny.konsultacja]]</f>
        <v>3</v>
      </c>
      <c r="AT105" s="228">
        <f>Tabela_SP2[[#This Row],[godziny.egzamin]]</f>
        <v>2</v>
      </c>
      <c r="AU105" s="229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05" s="326">
        <f>IF(Tabela_SP2_nst[[#This Row],[ects.bezposr.nauczyciel]],Tabela_SP2_nst[[#This Row],[ects.bezposr.nauczyciel]]/Tabela_SP2_nst[[#This Row],[ects.razem]],0)</f>
        <v>0.33333333333333331</v>
      </c>
      <c r="AW105" s="49"/>
    </row>
    <row r="106" spans="1:49" ht="25.5" customHeight="1" x14ac:dyDescent="0.3">
      <c r="A106" s="207"/>
      <c r="B106" s="331" t="str">
        <f>IF(Tabela_SP2[[#This Row],[kod.isced]]&lt;&gt;"",Tabela_SP2[[#This Row],[kod.isced]],"")</f>
        <v>0421</v>
      </c>
      <c r="C106" s="193" t="str">
        <f>IF(Tabela_SP2[[#This Row],[kod.dziedziny]]&lt;&gt;"",Tabela_SP2[[#This Row],[kod.dziedziny]],"")</f>
        <v>501</v>
      </c>
      <c r="D106" s="193" t="str">
        <f>IF(Tabela_SP2[[#This Row],[Modul]]&lt;&gt;"",Tabela_SP2[[#This Row],[Modul]],"")</f>
        <v>pik.02.1</v>
      </c>
      <c r="E106" s="193" t="str">
        <f>IF(Tabela_SP2[[#This Row],[Umiej.prakt.]]&lt;&gt;"",Tabela_SP2[[#This Row],[Umiej.prakt.]],"")</f>
        <v>up</v>
      </c>
      <c r="F106" s="327" t="str">
        <f>IF(Tabela_SP2[[#This Row],[Nazwa przedmiotu]]&lt;&gt;"",Tabela_SP2[[#This Row],[Nazwa przedmiotu]],"")</f>
        <v>Dokumentacja pracownicza</v>
      </c>
      <c r="G106" s="309" t="str">
        <f>IF(Tabela_SP2[[#This Row],[Prowadzacy]]&lt;&gt;"",Tabela_SP2[[#This Row],[Prowadzacy]],"")</f>
        <v/>
      </c>
      <c r="H106" s="155" t="str">
        <f>IF(Tabela_SP2[[#This Row],[Forma]]&lt;&gt;"",Tabela_SP2[[#This Row],[Forma]],"")</f>
        <v>konwersatorium</v>
      </c>
      <c r="I106" s="156" t="str">
        <f>IF(Tabela_SP2[[#This Row],[czy.ects]]&lt;&gt;"",Tabela_SP2[[#This Row],[czy.ects]],"")</f>
        <v>TAK</v>
      </c>
      <c r="J106" s="356" t="str" cm="1">
        <f t="array" ref="J106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06" s="356" t="str" cm="1">
        <f t="array" ref="K106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06" s="356" t="str">
        <f>IF(Tabela_SP2[[#This Row],[sem1.forma]]&lt;&gt;"",Tabela_SP2[[#This Row],[sem1.forma]],"")</f>
        <v/>
      </c>
      <c r="M106" s="357" t="str" cm="1">
        <f t="array" ref="M106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06" s="357" t="str" cm="1">
        <f t="array" ref="N106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06" s="357" t="str">
        <f>IF(Tabela_SP2[[#This Row],[sem2.forma]]&lt;&gt;"",Tabela_SP2[[#This Row],[sem2.forma]],"")</f>
        <v/>
      </c>
      <c r="P106" s="358" t="str" cm="1">
        <f t="array" ref="P106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06" s="359" t="str" cm="1">
        <f t="array" ref="Q106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06" s="358" t="str">
        <f>IF(Tabela_SP2[[#This Row],[sem3.forma]]&lt;&gt;"",Tabela_SP2[[#This Row],[sem3.forma]],"")</f>
        <v/>
      </c>
      <c r="S106" s="355" cm="1">
        <f t="array" ref="S106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>9</v>
      </c>
      <c r="T106" s="355" cm="1">
        <f t="array" ref="T106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>1</v>
      </c>
      <c r="U106" s="355" t="str">
        <f>IF(Tabela_SP2[[#This Row],[sem4.forma]]&lt;&gt;"",Tabela_SP2[[#This Row],[sem4.forma]],"")</f>
        <v>z</v>
      </c>
      <c r="V106" s="180" t="str" cm="1">
        <f t="array" ref="V106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06" s="180" t="str" cm="1">
        <f t="array" ref="W106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06" s="180" t="str">
        <f>IF(Tabela_SP2[[#This Row],[sem5.forma]]&lt;&gt;"",Tabela_SP2[[#This Row],[sem5.forma]],"")</f>
        <v/>
      </c>
      <c r="Y106" s="181" t="str" cm="1">
        <f t="array" ref="Y106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06" s="181" t="str" cm="1">
        <f t="array" ref="Z106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06" s="181" t="str">
        <f>IF(Tabela_SP2[[#This Row],[sem6.forma]]&lt;&gt;"",Tabela_SP2[[#This Row],[sem6.forma]],"")</f>
        <v/>
      </c>
      <c r="AB106" s="182" t="str" cm="1">
        <f t="array" ref="AB106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06" s="182" t="str" cm="1">
        <f t="array" ref="AC106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06" s="182" t="str">
        <f>IF(Tabela_SP2[[#This Row],[sem7.forma]]&lt;&gt;"",Tabela_SP2[[#This Row],[sem7.forma]],"")</f>
        <v/>
      </c>
      <c r="AE106" s="183" t="str" cm="1">
        <f t="array" ref="AE106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06" s="183" t="str" cm="1">
        <f t="array" ref="AF106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06" s="183" t="str">
        <f>IF(Tabela_SP2[[#This Row],[sem8.forma]]&lt;&gt;"",Tabela_SP2[[#This Row],[sem8.forma]],"")</f>
        <v/>
      </c>
      <c r="AH106" s="184" t="str" cm="1">
        <f t="array" ref="AH106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06" s="184" t="str" cm="1">
        <f t="array" ref="AI106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06" s="184" t="str">
        <f>IF(Tabela_SP2[[#This Row],[sem9.forma]]&lt;&gt;"",Tabela_SP2[[#This Row],[sem9.forma]],"")</f>
        <v/>
      </c>
      <c r="AK106" s="185" t="str" cm="1">
        <f t="array" ref="AK106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06" s="185" t="str" cm="1">
        <f t="array" ref="AL106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06" s="185" t="str">
        <f>IF(Tabela_SP2[[#This Row],[sem10.forma]]&lt;&gt;"",Tabela_SP2[[#This Row],[sem10.forma]],"")</f>
        <v/>
      </c>
      <c r="AN106" s="186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1</v>
      </c>
      <c r="AO106" s="223">
        <f>IF(ISERR(SEARCH("UP",Tabela_SP2_nst[[#This Row],[Umiej.prakt.]],1)),0,Tabela_SP2_nst[[#This Row],[ects.razem]])</f>
        <v>1</v>
      </c>
      <c r="AP106" s="224">
        <f>IF(Tabela_SP2_nst[[#This Row],[czy.ects]]="TAK",ROUND((SUM(Tabela_SP2_nst[[#This Row],[godziny.konsultacja]],Tabela_SP2_nst[[#This Row],[godziny.egzamin]],Tabela_SP2_nst[[#This Row],[godziny.zajec.razem]])/25)/0.5,0)*0.5,0)</f>
        <v>0.5</v>
      </c>
      <c r="AQ106" s="225">
        <f>SUM(Tabela_SP2_nst[[#This Row],[godziny.samoksztalcenie]],Tabela_SP2_nst[[#This Row],[godziny.konsultacja]],Tabela_SP2_nst[[#This Row],[godziny.egzamin]],Tabela_SP2_nst[[#This Row],[godziny.zajec.razem]])</f>
        <v>27</v>
      </c>
      <c r="AR106" s="226">
        <f>Tabela_SP2[[#This Row],[godziny.samoksztalcenie]]+(Tabela_SP2[[#This Row],[godziny.zajec.razem]]-Tabela_SP2_nst[[#This Row],[godziny.zajec.razem]])</f>
        <v>15</v>
      </c>
      <c r="AS106" s="227">
        <f>Tabela_SP2[[#This Row],[godziny.konsultacja]]</f>
        <v>1</v>
      </c>
      <c r="AT106" s="228">
        <f>Tabela_SP2[[#This Row],[godziny.egzamin]]</f>
        <v>2</v>
      </c>
      <c r="AU106" s="229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9</v>
      </c>
      <c r="AV106" s="326">
        <f>IF(Tabela_SP2_nst[[#This Row],[ects.bezposr.nauczyciel]],Tabela_SP2_nst[[#This Row],[ects.bezposr.nauczyciel]]/Tabela_SP2_nst[[#This Row],[ects.razem]],0)</f>
        <v>0.5</v>
      </c>
      <c r="AW106" s="49"/>
    </row>
    <row r="107" spans="1:49" ht="25.5" customHeight="1" x14ac:dyDescent="0.3">
      <c r="A107" s="207"/>
      <c r="B107" s="331" t="str">
        <f>IF(Tabela_SP2[[#This Row],[kod.isced]]&lt;&gt;"",Tabela_SP2[[#This Row],[kod.isced]],"")</f>
        <v>0421</v>
      </c>
      <c r="C107" s="193" t="str">
        <f>IF(Tabela_SP2[[#This Row],[kod.dziedziny]]&lt;&gt;"",Tabela_SP2[[#This Row],[kod.dziedziny]],"")</f>
        <v>501</v>
      </c>
      <c r="D107" s="193" t="str">
        <f>IF(Tabela_SP2[[#This Row],[Modul]]&lt;&gt;"",Tabela_SP2[[#This Row],[Modul]],"")</f>
        <v>pik.02.2</v>
      </c>
      <c r="E107" s="193" t="str">
        <f>IF(Tabela_SP2[[#This Row],[Umiej.prakt.]]&lt;&gt;"",Tabela_SP2[[#This Row],[Umiej.prakt.]],"")</f>
        <v>up</v>
      </c>
      <c r="F107" s="327" t="str">
        <f>IF(Tabela_SP2[[#This Row],[Nazwa przedmiotu]]&lt;&gt;"",Tabela_SP2[[#This Row],[Nazwa przedmiotu]],"")</f>
        <v>Dokumentacja pracownicza</v>
      </c>
      <c r="G107" s="309" t="str">
        <f>IF(Tabela_SP2[[#This Row],[Prowadzacy]]&lt;&gt;"",Tabela_SP2[[#This Row],[Prowadzacy]],"")</f>
        <v/>
      </c>
      <c r="H107" s="155" t="str">
        <f>IF(Tabela_SP2[[#This Row],[Forma]]&lt;&gt;"",Tabela_SP2[[#This Row],[Forma]],"")</f>
        <v>ćwiczenia</v>
      </c>
      <c r="I107" s="156" t="str">
        <f>IF(Tabela_SP2[[#This Row],[czy.ects]]&lt;&gt;"",Tabela_SP2[[#This Row],[czy.ects]],"")</f>
        <v>TAK</v>
      </c>
      <c r="J107" s="356" t="str" cm="1">
        <f t="array" ref="J107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07" s="356" t="str" cm="1">
        <f t="array" ref="K107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07" s="356" t="str">
        <f>IF(Tabela_SP2[[#This Row],[sem1.forma]]&lt;&gt;"",Tabela_SP2[[#This Row],[sem1.forma]],"")</f>
        <v/>
      </c>
      <c r="M107" s="357" t="str" cm="1">
        <f t="array" ref="M107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07" s="357" t="str" cm="1">
        <f t="array" ref="N107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07" s="357" t="str">
        <f>IF(Tabela_SP2[[#This Row],[sem2.forma]]&lt;&gt;"",Tabela_SP2[[#This Row],[sem2.forma]],"")</f>
        <v/>
      </c>
      <c r="P107" s="358" t="str" cm="1">
        <f t="array" ref="P107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07" s="359" t="str" cm="1">
        <f t="array" ref="Q107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07" s="358" t="str">
        <f>IF(Tabela_SP2[[#This Row],[sem3.forma]]&lt;&gt;"",Tabela_SP2[[#This Row],[sem3.forma]],"")</f>
        <v/>
      </c>
      <c r="S107" s="355" cm="1">
        <f t="array" ref="S107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>18</v>
      </c>
      <c r="T107" s="355">
        <v>3</v>
      </c>
      <c r="U107" s="355" t="str">
        <f>IF(Tabela_SP2[[#This Row],[sem4.forma]]&lt;&gt;"",Tabela_SP2[[#This Row],[sem4.forma]],"")</f>
        <v>z</v>
      </c>
      <c r="V107" s="180" t="str" cm="1">
        <f t="array" ref="V107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07" s="180" t="str" cm="1">
        <f t="array" ref="W107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07" s="180" t="str">
        <f>IF(Tabela_SP2[[#This Row],[sem5.forma]]&lt;&gt;"",Tabela_SP2[[#This Row],[sem5.forma]],"")</f>
        <v/>
      </c>
      <c r="Y107" s="181" t="str" cm="1">
        <f t="array" ref="Y107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07" s="181" t="str" cm="1">
        <f t="array" ref="Z107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07" s="181" t="str">
        <f>IF(Tabela_SP2[[#This Row],[sem6.forma]]&lt;&gt;"",Tabela_SP2[[#This Row],[sem6.forma]],"")</f>
        <v/>
      </c>
      <c r="AB107" s="182" t="str" cm="1">
        <f t="array" ref="AB107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07" s="182" t="str" cm="1">
        <f t="array" ref="AC107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07" s="182" t="str">
        <f>IF(Tabela_SP2[[#This Row],[sem7.forma]]&lt;&gt;"",Tabela_SP2[[#This Row],[sem7.forma]],"")</f>
        <v/>
      </c>
      <c r="AE107" s="183" t="str" cm="1">
        <f t="array" ref="AE107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07" s="183" t="str" cm="1">
        <f t="array" ref="AF107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07" s="183" t="str">
        <f>IF(Tabela_SP2[[#This Row],[sem8.forma]]&lt;&gt;"",Tabela_SP2[[#This Row],[sem8.forma]],"")</f>
        <v/>
      </c>
      <c r="AH107" s="184" t="str" cm="1">
        <f t="array" ref="AH107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07" s="184" t="str" cm="1">
        <f t="array" ref="AI107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07" s="184" t="str">
        <f>IF(Tabela_SP2[[#This Row],[sem9.forma]]&lt;&gt;"",Tabela_SP2[[#This Row],[sem9.forma]],"")</f>
        <v/>
      </c>
      <c r="AK107" s="185" t="str" cm="1">
        <f t="array" ref="AK107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07" s="185" t="str" cm="1">
        <f t="array" ref="AL107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07" s="185" t="str">
        <f>IF(Tabela_SP2[[#This Row],[sem10.forma]]&lt;&gt;"",Tabela_SP2[[#This Row],[sem10.forma]],"")</f>
        <v/>
      </c>
      <c r="AN107" s="186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07" s="223">
        <f>IF(ISERR(SEARCH("UP",Tabela_SP2_nst[[#This Row],[Umiej.prakt.]],1)),0,Tabela_SP2_nst[[#This Row],[ects.razem]])</f>
        <v>3</v>
      </c>
      <c r="AP107" s="224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07" s="225">
        <f>SUM(Tabela_SP2_nst[[#This Row],[godziny.samoksztalcenie]],Tabela_SP2_nst[[#This Row],[godziny.konsultacja]],Tabela_SP2_nst[[#This Row],[godziny.egzamin]],Tabela_SP2_nst[[#This Row],[godziny.zajec.razem]])</f>
        <v>52</v>
      </c>
      <c r="AR107" s="226">
        <f>Tabela_SP2[[#This Row],[godziny.samoksztalcenie]]+(Tabela_SP2[[#This Row],[godziny.zajec.razem]]-Tabela_SP2_nst[[#This Row],[godziny.zajec.razem]])</f>
        <v>29</v>
      </c>
      <c r="AS107" s="227">
        <f>Tabela_SP2[[#This Row],[godziny.konsultacja]]</f>
        <v>3</v>
      </c>
      <c r="AT107" s="228">
        <f>Tabela_SP2[[#This Row],[godziny.egzamin]]</f>
        <v>2</v>
      </c>
      <c r="AU107" s="229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07" s="326">
        <f>IF(Tabela_SP2_nst[[#This Row],[ects.bezposr.nauczyciel]],Tabela_SP2_nst[[#This Row],[ects.bezposr.nauczyciel]]/Tabela_SP2_nst[[#This Row],[ects.razem]],0)</f>
        <v>0.33333333333333331</v>
      </c>
      <c r="AW107" s="49"/>
    </row>
    <row r="108" spans="1:49" ht="25.5" customHeight="1" x14ac:dyDescent="0.3">
      <c r="A108" s="207"/>
      <c r="B108" s="443" t="str">
        <f>IF(Tabela_SP2[[#This Row],[kod.isced]]&lt;&gt;"",Tabela_SP2[[#This Row],[kod.isced]],"")</f>
        <v>0421</v>
      </c>
      <c r="C108" s="437" t="str">
        <f>IF(Tabela_SP2[[#This Row],[kod.dziedziny]]&lt;&gt;"",Tabela_SP2[[#This Row],[kod.dziedziny]],"")</f>
        <v>501</v>
      </c>
      <c r="D108" s="437" t="str">
        <f>IF(Tabela_SP2[[#This Row],[Modul]]&lt;&gt;"",Tabela_SP2[[#This Row],[Modul]],"")</f>
        <v>pik.03.1</v>
      </c>
      <c r="E108" s="437" t="str">
        <f>IF(Tabela_SP2[[#This Row],[Umiej.prakt.]]&lt;&gt;"",Tabela_SP2[[#This Row],[Umiej.prakt.]],"")</f>
        <v>up</v>
      </c>
      <c r="F108" s="444" t="str">
        <f>IF(Tabela_SP2[[#This Row],[Nazwa przedmiotu]]&lt;&gt;"",Tabela_SP2[[#This Row],[Nazwa przedmiotu]],"")</f>
        <v>Czas pracy</v>
      </c>
      <c r="G108" s="439" t="str">
        <f>IF(Tabela_SP2[[#This Row],[Prowadzacy]]&lt;&gt;"",Tabela_SP2[[#This Row],[Prowadzacy]],"")</f>
        <v/>
      </c>
      <c r="H108" s="440" t="str">
        <f>IF(Tabela_SP2[[#This Row],[Forma]]&lt;&gt;"",Tabela_SP2[[#This Row],[Forma]],"")</f>
        <v>konwersatorium</v>
      </c>
      <c r="I108" s="441" t="str">
        <f>IF(Tabela_SP2[[#This Row],[czy.ects]]&lt;&gt;"",Tabela_SP2[[#This Row],[czy.ects]],"")</f>
        <v>TAK</v>
      </c>
      <c r="J108" s="356" t="str" cm="1">
        <f t="array" ref="J108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08" s="356" t="str" cm="1">
        <f t="array" ref="K108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08" s="356" t="str">
        <f>IF(Tabela_SP2[[#This Row],[sem1.forma]]&lt;&gt;"",Tabela_SP2[[#This Row],[sem1.forma]],"")</f>
        <v/>
      </c>
      <c r="M108" s="357" t="str" cm="1">
        <f t="array" ref="M108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08" s="357" t="str" cm="1">
        <f t="array" ref="N108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08" s="357" t="str">
        <f>IF(Tabela_SP2[[#This Row],[sem2.forma]]&lt;&gt;"",Tabela_SP2[[#This Row],[sem2.forma]],"")</f>
        <v/>
      </c>
      <c r="P108" s="358" t="str" cm="1">
        <f t="array" ref="P108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08" s="359" t="str" cm="1">
        <f t="array" ref="Q108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08" s="358" t="str">
        <f>IF(Tabela_SP2[[#This Row],[sem3.forma]]&lt;&gt;"",Tabela_SP2[[#This Row],[sem3.forma]],"")</f>
        <v/>
      </c>
      <c r="S108" s="355" t="str" cm="1">
        <f t="array" ref="S108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08" s="355" t="str" cm="1">
        <f t="array" ref="T108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08" s="355" t="str">
        <f>IF(Tabela_SP2[[#This Row],[sem4.forma]]&lt;&gt;"",Tabela_SP2[[#This Row],[sem4.forma]],"")</f>
        <v/>
      </c>
      <c r="V108" s="180" cm="1">
        <f t="array" ref="V108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18</v>
      </c>
      <c r="W108" s="180" cm="1">
        <f t="array" ref="W108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>2</v>
      </c>
      <c r="X108" s="180" t="str">
        <f>IF(Tabela_SP2[[#This Row],[sem5.forma]]&lt;&gt;"",Tabela_SP2[[#This Row],[sem5.forma]],"")</f>
        <v>z</v>
      </c>
      <c r="Y108" s="181" t="str" cm="1">
        <f t="array" ref="Y108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08" s="181" t="str" cm="1">
        <f t="array" ref="Z108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08" s="181" t="str">
        <f>IF(Tabela_SP2[[#This Row],[sem6.forma]]&lt;&gt;"",Tabela_SP2[[#This Row],[sem6.forma]],"")</f>
        <v/>
      </c>
      <c r="AB108" s="182" t="str" cm="1">
        <f t="array" ref="AB108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08" s="182" t="str" cm="1">
        <f t="array" ref="AC108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08" s="182" t="str">
        <f>IF(Tabela_SP2[[#This Row],[sem7.forma]]&lt;&gt;"",Tabela_SP2[[#This Row],[sem7.forma]],"")</f>
        <v/>
      </c>
      <c r="AE108" s="183" t="str" cm="1">
        <f t="array" ref="AE108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08" s="183" t="str" cm="1">
        <f t="array" ref="AF108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08" s="183" t="str">
        <f>IF(Tabela_SP2[[#This Row],[sem8.forma]]&lt;&gt;"",Tabela_SP2[[#This Row],[sem8.forma]],"")</f>
        <v/>
      </c>
      <c r="AH108" s="184" t="str" cm="1">
        <f t="array" ref="AH108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08" s="184" t="str" cm="1">
        <f t="array" ref="AI108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08" s="184" t="str">
        <f>IF(Tabela_SP2[[#This Row],[sem9.forma]]&lt;&gt;"",Tabela_SP2[[#This Row],[sem9.forma]],"")</f>
        <v/>
      </c>
      <c r="AK108" s="185" t="str" cm="1">
        <f t="array" ref="AK108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08" s="185" t="str" cm="1">
        <f t="array" ref="AL108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08" s="185" t="str">
        <f>IF(Tabela_SP2[[#This Row],[sem10.forma]]&lt;&gt;"",Tabela_SP2[[#This Row],[sem10.forma]],"")</f>
        <v/>
      </c>
      <c r="AN108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2</v>
      </c>
      <c r="AO108" s="389">
        <f>IF(ISERR(SEARCH("UP",Tabela_SP2_nst[[#This Row],[Umiej.prakt.]],1)),0,Tabela_SP2_nst[[#This Row],[ects.razem]])</f>
        <v>2</v>
      </c>
      <c r="AP108" s="390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08" s="391">
        <f>SUM(Tabela_SP2_nst[[#This Row],[godziny.samoksztalcenie]],Tabela_SP2_nst[[#This Row],[godziny.konsultacja]],Tabela_SP2_nst[[#This Row],[godziny.egzamin]],Tabela_SP2_nst[[#This Row],[godziny.zajec.razem]])</f>
        <v>52</v>
      </c>
      <c r="AR108" s="392">
        <f>Tabela_SP2[[#This Row],[godziny.samoksztalcenie]]+(Tabela_SP2[[#This Row],[godziny.zajec.razem]]-Tabela_SP2_nst[[#This Row],[godziny.zajec.razem]])</f>
        <v>29</v>
      </c>
      <c r="AS108" s="393">
        <f>Tabela_SP2[[#This Row],[godziny.konsultacja]]</f>
        <v>3</v>
      </c>
      <c r="AT108" s="394">
        <f>Tabela_SP2[[#This Row],[godziny.egzamin]]</f>
        <v>2</v>
      </c>
      <c r="AU108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08" s="442">
        <f>IF(Tabela_SP2_nst[[#This Row],[ects.bezposr.nauczyciel]],Tabela_SP2_nst[[#This Row],[ects.bezposr.nauczyciel]]/Tabela_SP2_nst[[#This Row],[ects.razem]],0)</f>
        <v>0.5</v>
      </c>
      <c r="AW108" s="49"/>
    </row>
    <row r="109" spans="1:49" ht="25.5" customHeight="1" x14ac:dyDescent="0.3">
      <c r="A109" s="207"/>
      <c r="B109" s="443" t="str">
        <f>IF(Tabela_SP2[[#This Row],[kod.isced]]&lt;&gt;"",Tabela_SP2[[#This Row],[kod.isced]],"")</f>
        <v>0421</v>
      </c>
      <c r="C109" s="437" t="str">
        <f>IF(Tabela_SP2[[#This Row],[kod.dziedziny]]&lt;&gt;"",Tabela_SP2[[#This Row],[kod.dziedziny]],"")</f>
        <v>501</v>
      </c>
      <c r="D109" s="437" t="str">
        <f>IF(Tabela_SP2[[#This Row],[Modul]]&lt;&gt;"",Tabela_SP2[[#This Row],[Modul]],"")</f>
        <v>pik.03.2</v>
      </c>
      <c r="E109" s="437" t="str">
        <f>IF(Tabela_SP2[[#This Row],[Umiej.prakt.]]&lt;&gt;"",Tabela_SP2[[#This Row],[Umiej.prakt.]],"")</f>
        <v>up</v>
      </c>
      <c r="F109" s="444" t="str">
        <f>IF(Tabela_SP2[[#This Row],[Nazwa przedmiotu]]&lt;&gt;"",Tabela_SP2[[#This Row],[Nazwa przedmiotu]],"")</f>
        <v>Czas pracy</v>
      </c>
      <c r="G109" s="439" t="str">
        <f>IF(Tabela_SP2[[#This Row],[Prowadzacy]]&lt;&gt;"",Tabela_SP2[[#This Row],[Prowadzacy]],"")</f>
        <v/>
      </c>
      <c r="H109" s="440" t="str">
        <f>IF(Tabela_SP2[[#This Row],[Forma]]&lt;&gt;"",Tabela_SP2[[#This Row],[Forma]],"")</f>
        <v>ćwiczenia</v>
      </c>
      <c r="I109" s="441" t="str">
        <f>IF(Tabela_SP2[[#This Row],[czy.ects]]&lt;&gt;"",Tabela_SP2[[#This Row],[czy.ects]],"")</f>
        <v>TAK</v>
      </c>
      <c r="J109" s="356" t="str" cm="1">
        <f t="array" ref="J109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09" s="356" t="str" cm="1">
        <f t="array" ref="K109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09" s="356" t="str">
        <f>IF(Tabela_SP2[[#This Row],[sem1.forma]]&lt;&gt;"",Tabela_SP2[[#This Row],[sem1.forma]],"")</f>
        <v/>
      </c>
      <c r="M109" s="357" t="str" cm="1">
        <f t="array" ref="M109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09" s="357" t="str" cm="1">
        <f t="array" ref="N109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09" s="357" t="str">
        <f>IF(Tabela_SP2[[#This Row],[sem2.forma]]&lt;&gt;"",Tabela_SP2[[#This Row],[sem2.forma]],"")</f>
        <v/>
      </c>
      <c r="P109" s="358" t="str" cm="1">
        <f t="array" ref="P109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09" s="359" t="str" cm="1">
        <f t="array" ref="Q109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09" s="358" t="str">
        <f>IF(Tabela_SP2[[#This Row],[sem3.forma]]&lt;&gt;"",Tabela_SP2[[#This Row],[sem3.forma]],"")</f>
        <v/>
      </c>
      <c r="S109" s="355" t="str" cm="1">
        <f t="array" ref="S109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09" s="355" t="str" cm="1">
        <f t="array" ref="T109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09" s="355" t="str">
        <f>IF(Tabela_SP2[[#This Row],[sem4.forma]]&lt;&gt;"",Tabela_SP2[[#This Row],[sem4.forma]],"")</f>
        <v/>
      </c>
      <c r="V109" s="180" cm="1">
        <f t="array" ref="V109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18</v>
      </c>
      <c r="W109" s="180">
        <v>3</v>
      </c>
      <c r="X109" s="180" t="str">
        <f>IF(Tabela_SP2[[#This Row],[sem5.forma]]&lt;&gt;"",Tabela_SP2[[#This Row],[sem5.forma]],"")</f>
        <v>z</v>
      </c>
      <c r="Y109" s="181" t="str" cm="1">
        <f t="array" ref="Y109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09" s="181" t="str" cm="1">
        <f t="array" ref="Z109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09" s="181" t="str">
        <f>IF(Tabela_SP2[[#This Row],[sem6.forma]]&lt;&gt;"",Tabela_SP2[[#This Row],[sem6.forma]],"")</f>
        <v/>
      </c>
      <c r="AB109" s="182" t="str" cm="1">
        <f t="array" ref="AB109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09" s="182" t="str" cm="1">
        <f t="array" ref="AC109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09" s="182" t="str">
        <f>IF(Tabela_SP2[[#This Row],[sem7.forma]]&lt;&gt;"",Tabela_SP2[[#This Row],[sem7.forma]],"")</f>
        <v/>
      </c>
      <c r="AE109" s="183" t="str" cm="1">
        <f t="array" ref="AE109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09" s="183" t="str" cm="1">
        <f t="array" ref="AF109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09" s="183" t="str">
        <f>IF(Tabela_SP2[[#This Row],[sem8.forma]]&lt;&gt;"",Tabela_SP2[[#This Row],[sem8.forma]],"")</f>
        <v/>
      </c>
      <c r="AH109" s="184" t="str" cm="1">
        <f t="array" ref="AH109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09" s="184" t="str" cm="1">
        <f t="array" ref="AI109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09" s="184" t="str">
        <f>IF(Tabela_SP2[[#This Row],[sem9.forma]]&lt;&gt;"",Tabela_SP2[[#This Row],[sem9.forma]],"")</f>
        <v/>
      </c>
      <c r="AK109" s="185" t="str" cm="1">
        <f t="array" ref="AK109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09" s="185" t="str" cm="1">
        <f t="array" ref="AL109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09" s="185" t="str">
        <f>IF(Tabela_SP2[[#This Row],[sem10.forma]]&lt;&gt;"",Tabela_SP2[[#This Row],[sem10.forma]],"")</f>
        <v/>
      </c>
      <c r="AN109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09" s="389">
        <f>IF(ISERR(SEARCH("UP",Tabela_SP2_nst[[#This Row],[Umiej.prakt.]],1)),0,Tabela_SP2_nst[[#This Row],[ects.razem]])</f>
        <v>3</v>
      </c>
      <c r="AP109" s="390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09" s="391">
        <f>SUM(Tabela_SP2_nst[[#This Row],[godziny.samoksztalcenie]],Tabela_SP2_nst[[#This Row],[godziny.konsultacja]],Tabela_SP2_nst[[#This Row],[godziny.egzamin]],Tabela_SP2_nst[[#This Row],[godziny.zajec.razem]])</f>
        <v>52</v>
      </c>
      <c r="AR109" s="392">
        <f>Tabela_SP2[[#This Row],[godziny.samoksztalcenie]]+(Tabela_SP2[[#This Row],[godziny.zajec.razem]]-Tabela_SP2_nst[[#This Row],[godziny.zajec.razem]])</f>
        <v>29</v>
      </c>
      <c r="AS109" s="393">
        <f>Tabela_SP2[[#This Row],[godziny.konsultacja]]</f>
        <v>3</v>
      </c>
      <c r="AT109" s="394">
        <f>Tabela_SP2[[#This Row],[godziny.egzamin]]</f>
        <v>2</v>
      </c>
      <c r="AU109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09" s="442">
        <f>IF(Tabela_SP2_nst[[#This Row],[ects.bezposr.nauczyciel]],Tabela_SP2_nst[[#This Row],[ects.bezposr.nauczyciel]]/Tabela_SP2_nst[[#This Row],[ects.razem]],0)</f>
        <v>0.33333333333333331</v>
      </c>
      <c r="AW109" s="49"/>
    </row>
    <row r="110" spans="1:49" ht="25.5" customHeight="1" x14ac:dyDescent="0.3">
      <c r="A110" s="207"/>
      <c r="B110" s="443" t="str">
        <f>IF(Tabela_SP2[[#This Row],[kod.isced]]&lt;&gt;"",Tabela_SP2[[#This Row],[kod.isced]],"")</f>
        <v>0411</v>
      </c>
      <c r="C110" s="437" t="str">
        <f>IF(Tabela_SP2[[#This Row],[kod.dziedziny]]&lt;&gt;"",Tabela_SP2[[#This Row],[kod.dziedziny]],"")</f>
        <v>501</v>
      </c>
      <c r="D110" s="437" t="str">
        <f>IF(Tabela_SP2[[#This Row],[Modul]]&lt;&gt;"",Tabela_SP2[[#This Row],[Modul]],"")</f>
        <v>pik.04.1</v>
      </c>
      <c r="E110" s="437" t="str">
        <f>IF(Tabela_SP2[[#This Row],[Umiej.prakt.]]&lt;&gt;"",Tabela_SP2[[#This Row],[Umiej.prakt.]],"")</f>
        <v>up</v>
      </c>
      <c r="F110" s="444" t="str">
        <f>IF(Tabela_SP2[[#This Row],[Nazwa przedmiotu]]&lt;&gt;"",Tabela_SP2[[#This Row],[Nazwa przedmiotu]],"")</f>
        <v>Ubezpieczenia w systemie płac</v>
      </c>
      <c r="G110" s="439" t="str">
        <f>IF(Tabela_SP2[[#This Row],[Prowadzacy]]&lt;&gt;"",Tabela_SP2[[#This Row],[Prowadzacy]],"")</f>
        <v/>
      </c>
      <c r="H110" s="440" t="str">
        <f>IF(Tabela_SP2[[#This Row],[Forma]]&lt;&gt;"",Tabela_SP2[[#This Row],[Forma]],"")</f>
        <v>konwersatorium</v>
      </c>
      <c r="I110" s="441" t="str">
        <f>IF(Tabela_SP2[[#This Row],[czy.ects]]&lt;&gt;"",Tabela_SP2[[#This Row],[czy.ects]],"")</f>
        <v>TAK</v>
      </c>
      <c r="J110" s="356" t="str" cm="1">
        <f t="array" ref="J110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0" s="356" t="str" cm="1">
        <f t="array" ref="K110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0" s="356" t="str">
        <f>IF(Tabela_SP2[[#This Row],[sem1.forma]]&lt;&gt;"",Tabela_SP2[[#This Row],[sem1.forma]],"")</f>
        <v/>
      </c>
      <c r="M110" s="357" t="str" cm="1">
        <f t="array" ref="M110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0" s="357" t="str" cm="1">
        <f t="array" ref="N110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0" s="357" t="str">
        <f>IF(Tabela_SP2[[#This Row],[sem2.forma]]&lt;&gt;"",Tabela_SP2[[#This Row],[sem2.forma]],"")</f>
        <v/>
      </c>
      <c r="P110" s="358" t="str" cm="1">
        <f t="array" ref="P110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0" s="359" t="str" cm="1">
        <f t="array" ref="Q110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0" s="358" t="str">
        <f>IF(Tabela_SP2[[#This Row],[sem3.forma]]&lt;&gt;"",Tabela_SP2[[#This Row],[sem3.forma]],"")</f>
        <v/>
      </c>
      <c r="S110" s="355" t="str" cm="1">
        <f t="array" ref="S110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0" s="355" t="str" cm="1">
        <f t="array" ref="T110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0" s="355" t="str">
        <f>IF(Tabela_SP2[[#This Row],[sem4.forma]]&lt;&gt;"",Tabela_SP2[[#This Row],[sem4.forma]],"")</f>
        <v/>
      </c>
      <c r="V110" s="180" cm="1">
        <f t="array" ref="V110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9</v>
      </c>
      <c r="W110" s="180" cm="1">
        <f t="array" ref="W110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>1</v>
      </c>
      <c r="X110" s="180" t="str">
        <f>IF(Tabela_SP2[[#This Row],[sem5.forma]]&lt;&gt;"",Tabela_SP2[[#This Row],[sem5.forma]],"")</f>
        <v>z</v>
      </c>
      <c r="Y110" s="181" t="str" cm="1">
        <f t="array" ref="Y110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10" s="181" t="str" cm="1">
        <f t="array" ref="Z110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10" s="181" t="str">
        <f>IF(Tabela_SP2[[#This Row],[sem6.forma]]&lt;&gt;"",Tabela_SP2[[#This Row],[sem6.forma]],"")</f>
        <v/>
      </c>
      <c r="AB110" s="182" t="str" cm="1">
        <f t="array" ref="AB110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0" s="182" t="str" cm="1">
        <f t="array" ref="AC110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0" s="182" t="str">
        <f>IF(Tabela_SP2[[#This Row],[sem7.forma]]&lt;&gt;"",Tabela_SP2[[#This Row],[sem7.forma]],"")</f>
        <v/>
      </c>
      <c r="AE110" s="183" t="str" cm="1">
        <f t="array" ref="AE110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0" s="183" t="str" cm="1">
        <f t="array" ref="AF110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0" s="183" t="str">
        <f>IF(Tabela_SP2[[#This Row],[sem8.forma]]&lt;&gt;"",Tabela_SP2[[#This Row],[sem8.forma]],"")</f>
        <v/>
      </c>
      <c r="AH110" s="184" t="str" cm="1">
        <f t="array" ref="AH110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0" s="184" t="str" cm="1">
        <f t="array" ref="AI110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0" s="184" t="str">
        <f>IF(Tabela_SP2[[#This Row],[sem9.forma]]&lt;&gt;"",Tabela_SP2[[#This Row],[sem9.forma]],"")</f>
        <v/>
      </c>
      <c r="AK110" s="185" t="str" cm="1">
        <f t="array" ref="AK110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0" s="185" t="str" cm="1">
        <f t="array" ref="AL110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0" s="185" t="str">
        <f>IF(Tabela_SP2[[#This Row],[sem10.forma]]&lt;&gt;"",Tabela_SP2[[#This Row],[sem10.forma]],"")</f>
        <v/>
      </c>
      <c r="AN110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1</v>
      </c>
      <c r="AO110" s="389">
        <f>IF(ISERR(SEARCH("UP",Tabela_SP2_nst[[#This Row],[Umiej.prakt.]],1)),0,Tabela_SP2_nst[[#This Row],[ects.razem]])</f>
        <v>1</v>
      </c>
      <c r="AP110" s="390">
        <f>IF(Tabela_SP2_nst[[#This Row],[czy.ects]]="TAK",ROUND((SUM(Tabela_SP2_nst[[#This Row],[godziny.konsultacja]],Tabela_SP2_nst[[#This Row],[godziny.egzamin]],Tabela_SP2_nst[[#This Row],[godziny.zajec.razem]])/25)/0.5,0)*0.5,0)</f>
        <v>0.5</v>
      </c>
      <c r="AQ110" s="391">
        <f>SUM(Tabela_SP2_nst[[#This Row],[godziny.samoksztalcenie]],Tabela_SP2_nst[[#This Row],[godziny.konsultacja]],Tabela_SP2_nst[[#This Row],[godziny.egzamin]],Tabela_SP2_nst[[#This Row],[godziny.zajec.razem]])</f>
        <v>27</v>
      </c>
      <c r="AR110" s="392">
        <f>Tabela_SP2[[#This Row],[godziny.samoksztalcenie]]+(Tabela_SP2[[#This Row],[godziny.zajec.razem]]-Tabela_SP2_nst[[#This Row],[godziny.zajec.razem]])</f>
        <v>15</v>
      </c>
      <c r="AS110" s="393">
        <f>Tabela_SP2[[#This Row],[godziny.konsultacja]]</f>
        <v>1</v>
      </c>
      <c r="AT110" s="394">
        <f>Tabela_SP2[[#This Row],[godziny.egzamin]]</f>
        <v>2</v>
      </c>
      <c r="AU110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9</v>
      </c>
      <c r="AV110" s="442">
        <f>IF(Tabela_SP2_nst[[#This Row],[ects.bezposr.nauczyciel]],Tabela_SP2_nst[[#This Row],[ects.bezposr.nauczyciel]]/Tabela_SP2_nst[[#This Row],[ects.razem]],0)</f>
        <v>0.5</v>
      </c>
      <c r="AW110" s="49"/>
    </row>
    <row r="111" spans="1:49" ht="25.5" customHeight="1" x14ac:dyDescent="0.3">
      <c r="A111" s="207"/>
      <c r="B111" s="443" t="str">
        <f>IF(Tabela_SP2[[#This Row],[kod.isced]]&lt;&gt;"",Tabela_SP2[[#This Row],[kod.isced]],"")</f>
        <v>0411</v>
      </c>
      <c r="C111" s="437" t="str">
        <f>IF(Tabela_SP2[[#This Row],[kod.dziedziny]]&lt;&gt;"",Tabela_SP2[[#This Row],[kod.dziedziny]],"")</f>
        <v>501</v>
      </c>
      <c r="D111" s="437" t="str">
        <f>IF(Tabela_SP2[[#This Row],[Modul]]&lt;&gt;"",Tabela_SP2[[#This Row],[Modul]],"")</f>
        <v>pik.04.2</v>
      </c>
      <c r="E111" s="437" t="str">
        <f>IF(Tabela_SP2[[#This Row],[Umiej.prakt.]]&lt;&gt;"",Tabela_SP2[[#This Row],[Umiej.prakt.]],"")</f>
        <v>up</v>
      </c>
      <c r="F111" s="444" t="str">
        <f>IF(Tabela_SP2[[#This Row],[Nazwa przedmiotu]]&lt;&gt;"",Tabela_SP2[[#This Row],[Nazwa przedmiotu]],"")</f>
        <v>Ubezpieczenia w systemie płac</v>
      </c>
      <c r="G111" s="439" t="str">
        <f>IF(Tabela_SP2[[#This Row],[Prowadzacy]]&lt;&gt;"",Tabela_SP2[[#This Row],[Prowadzacy]],"")</f>
        <v/>
      </c>
      <c r="H111" s="440" t="str">
        <f>IF(Tabela_SP2[[#This Row],[Forma]]&lt;&gt;"",Tabela_SP2[[#This Row],[Forma]],"")</f>
        <v>laboratoria</v>
      </c>
      <c r="I111" s="441" t="str">
        <f>IF(Tabela_SP2[[#This Row],[czy.ects]]&lt;&gt;"",Tabela_SP2[[#This Row],[czy.ects]],"")</f>
        <v>TAK</v>
      </c>
      <c r="J111" s="356" t="str" cm="1">
        <f t="array" ref="J111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1" s="356" t="str" cm="1">
        <f t="array" ref="K111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1" s="356" t="str">
        <f>IF(Tabela_SP2[[#This Row],[sem1.forma]]&lt;&gt;"",Tabela_SP2[[#This Row],[sem1.forma]],"")</f>
        <v/>
      </c>
      <c r="M111" s="357" t="str" cm="1">
        <f t="array" ref="M111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1" s="357" t="str" cm="1">
        <f t="array" ref="N111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1" s="357" t="str">
        <f>IF(Tabela_SP2[[#This Row],[sem2.forma]]&lt;&gt;"",Tabela_SP2[[#This Row],[sem2.forma]],"")</f>
        <v/>
      </c>
      <c r="P111" s="358" t="str" cm="1">
        <f t="array" ref="P111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1" s="359" t="str" cm="1">
        <f t="array" ref="Q111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1" s="358" t="str">
        <f>IF(Tabela_SP2[[#This Row],[sem3.forma]]&lt;&gt;"",Tabela_SP2[[#This Row],[sem3.forma]],"")</f>
        <v/>
      </c>
      <c r="S111" s="355" t="str" cm="1">
        <f t="array" ref="S111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1" s="355" t="str" cm="1">
        <f t="array" ref="T111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1" s="355" t="str">
        <f>IF(Tabela_SP2[[#This Row],[sem4.forma]]&lt;&gt;"",Tabela_SP2[[#This Row],[sem4.forma]],"")</f>
        <v/>
      </c>
      <c r="V111" s="180" cm="1">
        <f t="array" ref="V111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18</v>
      </c>
      <c r="W111" s="180">
        <v>3</v>
      </c>
      <c r="X111" s="180" t="str">
        <f>IF(Tabela_SP2[[#This Row],[sem5.forma]]&lt;&gt;"",Tabela_SP2[[#This Row],[sem5.forma]],"")</f>
        <v>z</v>
      </c>
      <c r="Y111" s="181" t="str" cm="1">
        <f t="array" ref="Y111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/>
      </c>
      <c r="Z111" s="181" t="str" cm="1">
        <f t="array" ref="Z111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11" s="181" t="str">
        <f>IF(Tabela_SP2[[#This Row],[sem6.forma]]&lt;&gt;"",Tabela_SP2[[#This Row],[sem6.forma]],"")</f>
        <v/>
      </c>
      <c r="AB111" s="182" t="str" cm="1">
        <f t="array" ref="AB111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1" s="182" t="str" cm="1">
        <f t="array" ref="AC111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1" s="182" t="str">
        <f>IF(Tabela_SP2[[#This Row],[sem7.forma]]&lt;&gt;"",Tabela_SP2[[#This Row],[sem7.forma]],"")</f>
        <v/>
      </c>
      <c r="AE111" s="183" t="str" cm="1">
        <f t="array" ref="AE111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1" s="183" t="str" cm="1">
        <f t="array" ref="AF111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1" s="183" t="str">
        <f>IF(Tabela_SP2[[#This Row],[sem8.forma]]&lt;&gt;"",Tabela_SP2[[#This Row],[sem8.forma]],"")</f>
        <v/>
      </c>
      <c r="AH111" s="184" t="str" cm="1">
        <f t="array" ref="AH111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1" s="184" t="str" cm="1">
        <f t="array" ref="AI111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1" s="184" t="str">
        <f>IF(Tabela_SP2[[#This Row],[sem9.forma]]&lt;&gt;"",Tabela_SP2[[#This Row],[sem9.forma]],"")</f>
        <v/>
      </c>
      <c r="AK111" s="185" t="str" cm="1">
        <f t="array" ref="AK111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1" s="185" t="str" cm="1">
        <f t="array" ref="AL111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1" s="185" t="str">
        <f>IF(Tabela_SP2[[#This Row],[sem10.forma]]&lt;&gt;"",Tabela_SP2[[#This Row],[sem10.forma]],"")</f>
        <v/>
      </c>
      <c r="AN111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11" s="389">
        <f>IF(ISERR(SEARCH("UP",Tabela_SP2_nst[[#This Row],[Umiej.prakt.]],1)),0,Tabela_SP2_nst[[#This Row],[ects.razem]])</f>
        <v>3</v>
      </c>
      <c r="AP111" s="390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11" s="391">
        <f>SUM(Tabela_SP2_nst[[#This Row],[godziny.samoksztalcenie]],Tabela_SP2_nst[[#This Row],[godziny.konsultacja]],Tabela_SP2_nst[[#This Row],[godziny.egzamin]],Tabela_SP2_nst[[#This Row],[godziny.zajec.razem]])</f>
        <v>52</v>
      </c>
      <c r="AR111" s="392">
        <f>Tabela_SP2[[#This Row],[godziny.samoksztalcenie]]+(Tabela_SP2[[#This Row],[godziny.zajec.razem]]-Tabela_SP2_nst[[#This Row],[godziny.zajec.razem]])</f>
        <v>29</v>
      </c>
      <c r="AS111" s="393">
        <f>Tabela_SP2[[#This Row],[godziny.konsultacja]]</f>
        <v>3</v>
      </c>
      <c r="AT111" s="394">
        <f>Tabela_SP2[[#This Row],[godziny.egzamin]]</f>
        <v>2</v>
      </c>
      <c r="AU111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11" s="442">
        <f>IF(Tabela_SP2_nst[[#This Row],[ects.bezposr.nauczyciel]],Tabela_SP2_nst[[#This Row],[ects.bezposr.nauczyciel]]/Tabela_SP2_nst[[#This Row],[ects.razem]],0)</f>
        <v>0.33333333333333331</v>
      </c>
      <c r="AW111" s="49"/>
    </row>
    <row r="112" spans="1:49" ht="25.5" customHeight="1" x14ac:dyDescent="0.3">
      <c r="A112" s="207"/>
      <c r="B112" s="443" t="str">
        <f>IF(Tabela_SP2[[#This Row],[kod.isced]]&lt;&gt;"",Tabela_SP2[[#This Row],[kod.isced]],"")</f>
        <v>0411</v>
      </c>
      <c r="C112" s="437" t="str">
        <f>IF(Tabela_SP2[[#This Row],[kod.dziedziny]]&lt;&gt;"",Tabela_SP2[[#This Row],[kod.dziedziny]],"")</f>
        <v>501</v>
      </c>
      <c r="D112" s="437" t="str">
        <f>IF(Tabela_SP2[[#This Row],[Modul]]&lt;&gt;"",Tabela_SP2[[#This Row],[Modul]],"")</f>
        <v>pik.05.1</v>
      </c>
      <c r="E112" s="437" t="str">
        <f>IF(Tabela_SP2[[#This Row],[Umiej.prakt.]]&lt;&gt;"",Tabela_SP2[[#This Row],[Umiej.prakt.]],"")</f>
        <v>up</v>
      </c>
      <c r="F112" s="444" t="str">
        <f>IF(Tabela_SP2[[#This Row],[Nazwa przedmiotu]]&lt;&gt;"",Tabela_SP2[[#This Row],[Nazwa przedmiotu]],"")</f>
        <v>Wynagrodzenia</v>
      </c>
      <c r="G112" s="439" t="str">
        <f>IF(Tabela_SP2[[#This Row],[Prowadzacy]]&lt;&gt;"",Tabela_SP2[[#This Row],[Prowadzacy]],"")</f>
        <v/>
      </c>
      <c r="H112" s="440" t="str">
        <f>IF(Tabela_SP2[[#This Row],[Forma]]&lt;&gt;"",Tabela_SP2[[#This Row],[Forma]],"")</f>
        <v>konwersatorium</v>
      </c>
      <c r="I112" s="441" t="str">
        <f>IF(Tabela_SP2[[#This Row],[czy.ects]]&lt;&gt;"",Tabela_SP2[[#This Row],[czy.ects]],"")</f>
        <v>TAK</v>
      </c>
      <c r="J112" s="356" t="str" cm="1">
        <f t="array" ref="J112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2" s="356" t="str" cm="1">
        <f t="array" ref="K112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2" s="356" t="str">
        <f>IF(Tabela_SP2[[#This Row],[sem1.forma]]&lt;&gt;"",Tabela_SP2[[#This Row],[sem1.forma]],"")</f>
        <v/>
      </c>
      <c r="M112" s="357" t="str" cm="1">
        <f t="array" ref="M112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2" s="357" t="str" cm="1">
        <f t="array" ref="N112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2" s="357" t="str">
        <f>IF(Tabela_SP2[[#This Row],[sem2.forma]]&lt;&gt;"",Tabela_SP2[[#This Row],[sem2.forma]],"")</f>
        <v/>
      </c>
      <c r="P112" s="358" t="str" cm="1">
        <f t="array" ref="P112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2" s="359" t="str" cm="1">
        <f t="array" ref="Q112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2" s="358" t="str">
        <f>IF(Tabela_SP2[[#This Row],[sem3.forma]]&lt;&gt;"",Tabela_SP2[[#This Row],[sem3.forma]],"")</f>
        <v/>
      </c>
      <c r="S112" s="355" t="str" cm="1">
        <f t="array" ref="S112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2" s="355" t="str" cm="1">
        <f t="array" ref="T112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2" s="355" t="str">
        <f>IF(Tabela_SP2[[#This Row],[sem4.forma]]&lt;&gt;"",Tabela_SP2[[#This Row],[sem4.forma]],"")</f>
        <v/>
      </c>
      <c r="V112" s="180" t="str" cm="1">
        <f t="array" ref="V112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12" s="180" t="str" cm="1">
        <f t="array" ref="W112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12" s="180" t="str">
        <f>IF(Tabela_SP2[[#This Row],[sem5.forma]]&lt;&gt;"",Tabela_SP2[[#This Row],[sem5.forma]],"")</f>
        <v/>
      </c>
      <c r="Y112" s="181" cm="1">
        <f t="array" ref="Y112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9</v>
      </c>
      <c r="Z112" s="181" cm="1">
        <f t="array" ref="Z112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>1</v>
      </c>
      <c r="AA112" s="181" t="str">
        <f>IF(Tabela_SP2[[#This Row],[sem6.forma]]&lt;&gt;"",Tabela_SP2[[#This Row],[sem6.forma]],"")</f>
        <v>z</v>
      </c>
      <c r="AB112" s="182" t="str" cm="1">
        <f t="array" ref="AB112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2" s="182" t="str" cm="1">
        <f t="array" ref="AC112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2" s="182" t="str">
        <f>IF(Tabela_SP2[[#This Row],[sem7.forma]]&lt;&gt;"",Tabela_SP2[[#This Row],[sem7.forma]],"")</f>
        <v/>
      </c>
      <c r="AE112" s="183" t="str" cm="1">
        <f t="array" ref="AE112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2" s="183" t="str" cm="1">
        <f t="array" ref="AF112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2" s="183" t="str">
        <f>IF(Tabela_SP2[[#This Row],[sem8.forma]]&lt;&gt;"",Tabela_SP2[[#This Row],[sem8.forma]],"")</f>
        <v/>
      </c>
      <c r="AH112" s="184" t="str" cm="1">
        <f t="array" ref="AH112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2" s="184" t="str" cm="1">
        <f t="array" ref="AI112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2" s="184" t="str">
        <f>IF(Tabela_SP2[[#This Row],[sem9.forma]]&lt;&gt;"",Tabela_SP2[[#This Row],[sem9.forma]],"")</f>
        <v/>
      </c>
      <c r="AK112" s="185" t="str" cm="1">
        <f t="array" ref="AK112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2" s="185" t="str" cm="1">
        <f t="array" ref="AL112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2" s="185" t="str">
        <f>IF(Tabela_SP2[[#This Row],[sem10.forma]]&lt;&gt;"",Tabela_SP2[[#This Row],[sem10.forma]],"")</f>
        <v/>
      </c>
      <c r="AN112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1</v>
      </c>
      <c r="AO112" s="389">
        <f>IF(ISERR(SEARCH("UP",Tabela_SP2_nst[[#This Row],[Umiej.prakt.]],1)),0,Tabela_SP2_nst[[#This Row],[ects.razem]])</f>
        <v>1</v>
      </c>
      <c r="AP112" s="390">
        <f>IF(Tabela_SP2_nst[[#This Row],[czy.ects]]="TAK",ROUND((SUM(Tabela_SP2_nst[[#This Row],[godziny.konsultacja]],Tabela_SP2_nst[[#This Row],[godziny.egzamin]],Tabela_SP2_nst[[#This Row],[godziny.zajec.razem]])/25)/0.5,0)*0.5,0)</f>
        <v>0.5</v>
      </c>
      <c r="AQ112" s="391">
        <f>SUM(Tabela_SP2_nst[[#This Row],[godziny.samoksztalcenie]],Tabela_SP2_nst[[#This Row],[godziny.konsultacja]],Tabela_SP2_nst[[#This Row],[godziny.egzamin]],Tabela_SP2_nst[[#This Row],[godziny.zajec.razem]])</f>
        <v>27</v>
      </c>
      <c r="AR112" s="392">
        <f>Tabela_SP2[[#This Row],[godziny.samoksztalcenie]]+(Tabela_SP2[[#This Row],[godziny.zajec.razem]]-Tabela_SP2_nst[[#This Row],[godziny.zajec.razem]])</f>
        <v>15</v>
      </c>
      <c r="AS112" s="393">
        <f>Tabela_SP2[[#This Row],[godziny.konsultacja]]</f>
        <v>1</v>
      </c>
      <c r="AT112" s="394">
        <f>Tabela_SP2[[#This Row],[godziny.egzamin]]</f>
        <v>2</v>
      </c>
      <c r="AU112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9</v>
      </c>
      <c r="AV112" s="442">
        <f>IF(Tabela_SP2_nst[[#This Row],[ects.bezposr.nauczyciel]],Tabela_SP2_nst[[#This Row],[ects.bezposr.nauczyciel]]/Tabela_SP2_nst[[#This Row],[ects.razem]],0)</f>
        <v>0.5</v>
      </c>
      <c r="AW112" s="49"/>
    </row>
    <row r="113" spans="1:49" ht="25.5" customHeight="1" x14ac:dyDescent="0.3">
      <c r="A113" s="207"/>
      <c r="B113" s="443" t="str">
        <f>IF(Tabela_SP2[[#This Row],[kod.isced]]&lt;&gt;"",Tabela_SP2[[#This Row],[kod.isced]],"")</f>
        <v>0411</v>
      </c>
      <c r="C113" s="437" t="str">
        <f>IF(Tabela_SP2[[#This Row],[kod.dziedziny]]&lt;&gt;"",Tabela_SP2[[#This Row],[kod.dziedziny]],"")</f>
        <v>501</v>
      </c>
      <c r="D113" s="437" t="str">
        <f>IF(Tabela_SP2[[#This Row],[Modul]]&lt;&gt;"",Tabela_SP2[[#This Row],[Modul]],"")</f>
        <v>pik.05.2</v>
      </c>
      <c r="E113" s="437" t="str">
        <f>IF(Tabela_SP2[[#This Row],[Umiej.prakt.]]&lt;&gt;"",Tabela_SP2[[#This Row],[Umiej.prakt.]],"")</f>
        <v>up</v>
      </c>
      <c r="F113" s="444" t="str">
        <f>IF(Tabela_SP2[[#This Row],[Nazwa przedmiotu]]&lt;&gt;"",Tabela_SP2[[#This Row],[Nazwa przedmiotu]],"")</f>
        <v>Wynagrodzenia</v>
      </c>
      <c r="G113" s="439" t="str">
        <f>IF(Tabela_SP2[[#This Row],[Prowadzacy]]&lt;&gt;"",Tabela_SP2[[#This Row],[Prowadzacy]],"")</f>
        <v/>
      </c>
      <c r="H113" s="440" t="str">
        <f>IF(Tabela_SP2[[#This Row],[Forma]]&lt;&gt;"",Tabela_SP2[[#This Row],[Forma]],"")</f>
        <v>ćwiczenia</v>
      </c>
      <c r="I113" s="441" t="str">
        <f>IF(Tabela_SP2[[#This Row],[czy.ects]]&lt;&gt;"",Tabela_SP2[[#This Row],[czy.ects]],"")</f>
        <v>TAK</v>
      </c>
      <c r="J113" s="356" t="str" cm="1">
        <f t="array" ref="J113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3" s="356" t="str" cm="1">
        <f t="array" ref="K113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3" s="356" t="str">
        <f>IF(Tabela_SP2[[#This Row],[sem1.forma]]&lt;&gt;"",Tabela_SP2[[#This Row],[sem1.forma]],"")</f>
        <v/>
      </c>
      <c r="M113" s="357" t="str" cm="1">
        <f t="array" ref="M113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3" s="357" t="str" cm="1">
        <f t="array" ref="N113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3" s="357" t="str">
        <f>IF(Tabela_SP2[[#This Row],[sem2.forma]]&lt;&gt;"",Tabela_SP2[[#This Row],[sem2.forma]],"")</f>
        <v/>
      </c>
      <c r="P113" s="358" t="str" cm="1">
        <f t="array" ref="P113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3" s="359" t="str" cm="1">
        <f t="array" ref="Q113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3" s="358" t="str">
        <f>IF(Tabela_SP2[[#This Row],[sem3.forma]]&lt;&gt;"",Tabela_SP2[[#This Row],[sem3.forma]],"")</f>
        <v/>
      </c>
      <c r="S113" s="355" t="str" cm="1">
        <f t="array" ref="S113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3" s="355" t="str" cm="1">
        <f t="array" ref="T113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3" s="355" t="str">
        <f>IF(Tabela_SP2[[#This Row],[sem4.forma]]&lt;&gt;"",Tabela_SP2[[#This Row],[sem4.forma]],"")</f>
        <v/>
      </c>
      <c r="V113" s="180" t="str" cm="1">
        <f t="array" ref="V113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13" s="180" t="str" cm="1">
        <f t="array" ref="W113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13" s="180" t="str">
        <f>IF(Tabela_SP2[[#This Row],[sem5.forma]]&lt;&gt;"",Tabela_SP2[[#This Row],[sem5.forma]],"")</f>
        <v/>
      </c>
      <c r="Y113" s="181" cm="1">
        <f t="array" ref="Y113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18</v>
      </c>
      <c r="Z113" s="181">
        <v>3</v>
      </c>
      <c r="AA113" s="181" t="str">
        <f>IF(Tabela_SP2[[#This Row],[sem6.forma]]&lt;&gt;"",Tabela_SP2[[#This Row],[sem6.forma]],"")</f>
        <v>z</v>
      </c>
      <c r="AB113" s="182" t="str" cm="1">
        <f t="array" ref="AB113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3" s="182" t="str" cm="1">
        <f t="array" ref="AC113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3" s="182" t="str">
        <f>IF(Tabela_SP2[[#This Row],[sem7.forma]]&lt;&gt;"",Tabela_SP2[[#This Row],[sem7.forma]],"")</f>
        <v/>
      </c>
      <c r="AE113" s="183" t="str" cm="1">
        <f t="array" ref="AE113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3" s="183" t="str" cm="1">
        <f t="array" ref="AF113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3" s="183" t="str">
        <f>IF(Tabela_SP2[[#This Row],[sem8.forma]]&lt;&gt;"",Tabela_SP2[[#This Row],[sem8.forma]],"")</f>
        <v/>
      </c>
      <c r="AH113" s="184" t="str" cm="1">
        <f t="array" ref="AH113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3" s="184" t="str" cm="1">
        <f t="array" ref="AI113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3" s="184" t="str">
        <f>IF(Tabela_SP2[[#This Row],[sem9.forma]]&lt;&gt;"",Tabela_SP2[[#This Row],[sem9.forma]],"")</f>
        <v/>
      </c>
      <c r="AK113" s="185" t="str" cm="1">
        <f t="array" ref="AK113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3" s="185" t="str" cm="1">
        <f t="array" ref="AL113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3" s="185" t="str">
        <f>IF(Tabela_SP2[[#This Row],[sem10.forma]]&lt;&gt;"",Tabela_SP2[[#This Row],[sem10.forma]],"")</f>
        <v/>
      </c>
      <c r="AN113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13" s="389">
        <f>IF(ISERR(SEARCH("UP",Tabela_SP2_nst[[#This Row],[Umiej.prakt.]],1)),0,Tabela_SP2_nst[[#This Row],[ects.razem]])</f>
        <v>3</v>
      </c>
      <c r="AP113" s="390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13" s="391">
        <f>SUM(Tabela_SP2_nst[[#This Row],[godziny.samoksztalcenie]],Tabela_SP2_nst[[#This Row],[godziny.konsultacja]],Tabela_SP2_nst[[#This Row],[godziny.egzamin]],Tabela_SP2_nst[[#This Row],[godziny.zajec.razem]])</f>
        <v>52</v>
      </c>
      <c r="AR113" s="392">
        <f>Tabela_SP2[[#This Row],[godziny.samoksztalcenie]]+(Tabela_SP2[[#This Row],[godziny.zajec.razem]]-Tabela_SP2_nst[[#This Row],[godziny.zajec.razem]])</f>
        <v>29</v>
      </c>
      <c r="AS113" s="393">
        <f>Tabela_SP2[[#This Row],[godziny.konsultacja]]</f>
        <v>3</v>
      </c>
      <c r="AT113" s="394">
        <f>Tabela_SP2[[#This Row],[godziny.egzamin]]</f>
        <v>2</v>
      </c>
      <c r="AU113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13" s="442">
        <f>IF(Tabela_SP2_nst[[#This Row],[ects.bezposr.nauczyciel]],Tabela_SP2_nst[[#This Row],[ects.bezposr.nauczyciel]]/Tabela_SP2_nst[[#This Row],[ects.razem]],0)</f>
        <v>0.33333333333333331</v>
      </c>
      <c r="AW113" s="49"/>
    </row>
    <row r="114" spans="1:49" ht="25.5" customHeight="1" x14ac:dyDescent="0.3">
      <c r="A114" s="207"/>
      <c r="B114" s="331" t="str">
        <f>IF(Tabela_SP2[[#This Row],[kod.isced]]&lt;&gt;"",Tabela_SP2[[#This Row],[kod.isced]],"")</f>
        <v>0413</v>
      </c>
      <c r="C114" s="193" t="str">
        <f>IF(Tabela_SP2[[#This Row],[kod.dziedziny]]&lt;&gt;"",Tabela_SP2[[#This Row],[kod.dziedziny]],"")</f>
        <v>506</v>
      </c>
      <c r="D114" s="193" t="str">
        <f>IF(Tabela_SP2[[#This Row],[Modul]]&lt;&gt;"",Tabela_SP2[[#This Row],[Modul]],"")</f>
        <v>pik.06.1</v>
      </c>
      <c r="E114" s="193" t="str">
        <f>IF(Tabela_SP2[[#This Row],[Umiej.prakt.]]&lt;&gt;"",Tabela_SP2[[#This Row],[Umiej.prakt.]],"")</f>
        <v>up</v>
      </c>
      <c r="F114" s="327" t="str">
        <f>IF(Tabela_SP2[[#This Row],[Nazwa przedmiotu]]&lt;&gt;"",Tabela_SP2[[#This Row],[Nazwa przedmiotu]],"")</f>
        <v>Rekrutacja i selekcja pracowników</v>
      </c>
      <c r="G114" s="309" t="str">
        <f>IF(Tabela_SP2[[#This Row],[Prowadzacy]]&lt;&gt;"",Tabela_SP2[[#This Row],[Prowadzacy]],"")</f>
        <v/>
      </c>
      <c r="H114" s="155" t="str">
        <f>IF(Tabela_SP2[[#This Row],[Forma]]&lt;&gt;"",Tabela_SP2[[#This Row],[Forma]],"")</f>
        <v>konwersatorium</v>
      </c>
      <c r="I114" s="156" t="str">
        <f>IF(Tabela_SP2[[#This Row],[czy.ects]]&lt;&gt;"",Tabela_SP2[[#This Row],[czy.ects]],"")</f>
        <v>TAK</v>
      </c>
      <c r="J114" s="356" t="str" cm="1">
        <f t="array" ref="J114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4" s="356" t="str" cm="1">
        <f t="array" ref="K114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4" s="356" t="str">
        <f>IF(Tabela_SP2[[#This Row],[sem1.forma]]&lt;&gt;"",Tabela_SP2[[#This Row],[sem1.forma]],"")</f>
        <v/>
      </c>
      <c r="M114" s="357" t="str" cm="1">
        <f t="array" ref="M114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4" s="357" t="str" cm="1">
        <f t="array" ref="N114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4" s="357" t="str">
        <f>IF(Tabela_SP2[[#This Row],[sem2.forma]]&lt;&gt;"",Tabela_SP2[[#This Row],[sem2.forma]],"")</f>
        <v/>
      </c>
      <c r="P114" s="358" t="str" cm="1">
        <f t="array" ref="P114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4" s="359" t="str" cm="1">
        <f t="array" ref="Q114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4" s="358" t="str">
        <f>IF(Tabela_SP2[[#This Row],[sem3.forma]]&lt;&gt;"",Tabela_SP2[[#This Row],[sem3.forma]],"")</f>
        <v/>
      </c>
      <c r="S114" s="355" t="str" cm="1">
        <f t="array" ref="S114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4" s="355" t="str" cm="1">
        <f t="array" ref="T114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4" s="355" t="str">
        <f>IF(Tabela_SP2[[#This Row],[sem4.forma]]&lt;&gt;"",Tabela_SP2[[#This Row],[sem4.forma]],"")</f>
        <v/>
      </c>
      <c r="V114" s="180" t="str" cm="1">
        <f t="array" ref="V114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14" s="180" t="str" cm="1">
        <f t="array" ref="W114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14" s="180" t="str">
        <f>IF(Tabela_SP2[[#This Row],[sem5.forma]]&lt;&gt;"",Tabela_SP2[[#This Row],[sem5.forma]],"")</f>
        <v/>
      </c>
      <c r="Y114" s="181" cm="1">
        <f t="array" ref="Y114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18</v>
      </c>
      <c r="Z114" s="181">
        <v>3</v>
      </c>
      <c r="AA114" s="181" t="str">
        <f>IF(Tabela_SP2[[#This Row],[sem6.forma]]&lt;&gt;"",Tabela_SP2[[#This Row],[sem6.forma]],"")</f>
        <v>z</v>
      </c>
      <c r="AB114" s="182" t="str" cm="1">
        <f t="array" ref="AB114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4" s="182" t="str" cm="1">
        <f t="array" ref="AC114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4" s="182" t="str">
        <f>IF(Tabela_SP2[[#This Row],[sem7.forma]]&lt;&gt;"",Tabela_SP2[[#This Row],[sem7.forma]],"")</f>
        <v/>
      </c>
      <c r="AE114" s="183" t="str" cm="1">
        <f t="array" ref="AE114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4" s="183" t="str" cm="1">
        <f t="array" ref="AF114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4" s="183" t="str">
        <f>IF(Tabela_SP2[[#This Row],[sem8.forma]]&lt;&gt;"",Tabela_SP2[[#This Row],[sem8.forma]],"")</f>
        <v/>
      </c>
      <c r="AH114" s="184" t="str" cm="1">
        <f t="array" ref="AH114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4" s="184" t="str" cm="1">
        <f t="array" ref="AI114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4" s="184" t="str">
        <f>IF(Tabela_SP2[[#This Row],[sem9.forma]]&lt;&gt;"",Tabela_SP2[[#This Row],[sem9.forma]],"")</f>
        <v/>
      </c>
      <c r="AK114" s="185" t="str" cm="1">
        <f t="array" ref="AK114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4" s="185" t="str" cm="1">
        <f t="array" ref="AL114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4" s="185" t="str">
        <f>IF(Tabela_SP2[[#This Row],[sem10.forma]]&lt;&gt;"",Tabela_SP2[[#This Row],[sem10.forma]],"")</f>
        <v/>
      </c>
      <c r="AN114" s="186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14" s="223">
        <f>IF(ISERR(SEARCH("UP",Tabela_SP2_nst[[#This Row],[Umiej.prakt.]],1)),0,Tabela_SP2_nst[[#This Row],[ects.razem]])</f>
        <v>3</v>
      </c>
      <c r="AP114" s="224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14" s="225">
        <f>SUM(Tabela_SP2_nst[[#This Row],[godziny.samoksztalcenie]],Tabela_SP2_nst[[#This Row],[godziny.konsultacja]],Tabela_SP2_nst[[#This Row],[godziny.egzamin]],Tabela_SP2_nst[[#This Row],[godziny.zajec.razem]])</f>
        <v>52</v>
      </c>
      <c r="AR114" s="226">
        <f>Tabela_SP2[[#This Row],[godziny.samoksztalcenie]]+(Tabela_SP2[[#This Row],[godziny.zajec.razem]]-Tabela_SP2_nst[[#This Row],[godziny.zajec.razem]])</f>
        <v>29</v>
      </c>
      <c r="AS114" s="227">
        <f>Tabela_SP2[[#This Row],[godziny.konsultacja]]</f>
        <v>3</v>
      </c>
      <c r="AT114" s="228">
        <f>Tabela_SP2[[#This Row],[godziny.egzamin]]</f>
        <v>2</v>
      </c>
      <c r="AU114" s="229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14" s="326">
        <f>IF(Tabela_SP2_nst[[#This Row],[ects.bezposr.nauczyciel]],Tabela_SP2_nst[[#This Row],[ects.bezposr.nauczyciel]]/Tabela_SP2_nst[[#This Row],[ects.razem]],0)</f>
        <v>0.33333333333333331</v>
      </c>
      <c r="AW114" s="49"/>
    </row>
    <row r="115" spans="1:49" ht="25.5" customHeight="1" x14ac:dyDescent="0.3">
      <c r="A115" s="207"/>
      <c r="B115" s="331" t="str">
        <f>IF(Tabela_SP2[[#This Row],[kod.isced]]&lt;&gt;"",Tabela_SP2[[#This Row],[kod.isced]],"")</f>
        <v>0413</v>
      </c>
      <c r="C115" s="193" t="str">
        <f>IF(Tabela_SP2[[#This Row],[kod.dziedziny]]&lt;&gt;"",Tabela_SP2[[#This Row],[kod.dziedziny]],"")</f>
        <v>506</v>
      </c>
      <c r="D115" s="193" t="str">
        <f>IF(Tabela_SP2[[#This Row],[Modul]]&lt;&gt;"",Tabela_SP2[[#This Row],[Modul]],"")</f>
        <v>pik.07.1</v>
      </c>
      <c r="E115" s="193" t="str">
        <f>IF(Tabela_SP2[[#This Row],[Umiej.prakt.]]&lt;&gt;"",Tabela_SP2[[#This Row],[Umiej.prakt.]],"")</f>
        <v>up</v>
      </c>
      <c r="F115" s="327" t="str">
        <f>IF(Tabela_SP2[[#This Row],[Nazwa przedmiotu]]&lt;&gt;"",Tabela_SP2[[#This Row],[Nazwa przedmiotu]],"")</f>
        <v>Planowanie rozwoju zawodowego pracowników</v>
      </c>
      <c r="G115" s="309" t="str">
        <f>IF(Tabela_SP2[[#This Row],[Prowadzacy]]&lt;&gt;"",Tabela_SP2[[#This Row],[Prowadzacy]],"")</f>
        <v/>
      </c>
      <c r="H115" s="155" t="str">
        <f>IF(Tabela_SP2[[#This Row],[Forma]]&lt;&gt;"",Tabela_SP2[[#This Row],[Forma]],"")</f>
        <v>konwersatorium</v>
      </c>
      <c r="I115" s="156" t="str">
        <f>IF(Tabela_SP2[[#This Row],[czy.ects]]&lt;&gt;"",Tabela_SP2[[#This Row],[czy.ects]],"")</f>
        <v>TAK</v>
      </c>
      <c r="J115" s="356" t="str" cm="1">
        <f t="array" ref="J115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5" s="356" t="str" cm="1">
        <f t="array" ref="K115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5" s="356" t="str">
        <f>IF(Tabela_SP2[[#This Row],[sem1.forma]]&lt;&gt;"",Tabela_SP2[[#This Row],[sem1.forma]],"")</f>
        <v/>
      </c>
      <c r="M115" s="357" t="str" cm="1">
        <f t="array" ref="M115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5" s="357" t="str" cm="1">
        <f t="array" ref="N115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5" s="357" t="str">
        <f>IF(Tabela_SP2[[#This Row],[sem2.forma]]&lt;&gt;"",Tabela_SP2[[#This Row],[sem2.forma]],"")</f>
        <v/>
      </c>
      <c r="P115" s="358" t="str" cm="1">
        <f t="array" ref="P115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5" s="359" t="str" cm="1">
        <f t="array" ref="Q115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5" s="358" t="str">
        <f>IF(Tabela_SP2[[#This Row],[sem3.forma]]&lt;&gt;"",Tabela_SP2[[#This Row],[sem3.forma]],"")</f>
        <v/>
      </c>
      <c r="S115" s="355" t="str" cm="1">
        <f t="array" ref="S115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5" s="355" t="str" cm="1">
        <f t="array" ref="T115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5" s="355" t="str">
        <f>IF(Tabela_SP2[[#This Row],[sem4.forma]]&lt;&gt;"",Tabela_SP2[[#This Row],[sem4.forma]],"")</f>
        <v/>
      </c>
      <c r="V115" s="180" t="str" cm="1">
        <f t="array" ref="V115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/>
      </c>
      <c r="W115" s="180" t="str" cm="1">
        <f t="array" ref="W115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15" s="180" t="str">
        <f>IF(Tabela_SP2[[#This Row],[sem5.forma]]&lt;&gt;"",Tabela_SP2[[#This Row],[sem5.forma]],"")</f>
        <v/>
      </c>
      <c r="Y115" s="181" cm="1">
        <f t="array" ref="Y115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18</v>
      </c>
      <c r="Z115" s="181">
        <v>3</v>
      </c>
      <c r="AA115" s="181" t="str">
        <f>IF(Tabela_SP2[[#This Row],[sem6.forma]]&lt;&gt;"",Tabela_SP2[[#This Row],[sem6.forma]],"")</f>
        <v>z</v>
      </c>
      <c r="AB115" s="182" t="str" cm="1">
        <f t="array" ref="AB115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5" s="182" t="str" cm="1">
        <f t="array" ref="AC115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5" s="182" t="str">
        <f>IF(Tabela_SP2[[#This Row],[sem7.forma]]&lt;&gt;"",Tabela_SP2[[#This Row],[sem7.forma]],"")</f>
        <v/>
      </c>
      <c r="AE115" s="183" t="str" cm="1">
        <f t="array" ref="AE115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5" s="183" t="str" cm="1">
        <f t="array" ref="AF115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5" s="183" t="str">
        <f>IF(Tabela_SP2[[#This Row],[sem8.forma]]&lt;&gt;"",Tabela_SP2[[#This Row],[sem8.forma]],"")</f>
        <v/>
      </c>
      <c r="AH115" s="184" t="str" cm="1">
        <f t="array" ref="AH115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5" s="184" t="str" cm="1">
        <f t="array" ref="AI115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5" s="184" t="str">
        <f>IF(Tabela_SP2[[#This Row],[sem9.forma]]&lt;&gt;"",Tabela_SP2[[#This Row],[sem9.forma]],"")</f>
        <v/>
      </c>
      <c r="AK115" s="185" t="str" cm="1">
        <f t="array" ref="AK115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5" s="185" t="str" cm="1">
        <f t="array" ref="AL115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5" s="185" t="str">
        <f>IF(Tabela_SP2[[#This Row],[sem10.forma]]&lt;&gt;"",Tabela_SP2[[#This Row],[sem10.forma]],"")</f>
        <v/>
      </c>
      <c r="AN115" s="186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3</v>
      </c>
      <c r="AO115" s="223">
        <f>IF(ISERR(SEARCH("UP",Tabela_SP2_nst[[#This Row],[Umiej.prakt.]],1)),0,Tabela_SP2_nst[[#This Row],[ects.razem]])</f>
        <v>3</v>
      </c>
      <c r="AP115" s="224">
        <f>IF(Tabela_SP2_nst[[#This Row],[czy.ects]]="TAK",ROUND((SUM(Tabela_SP2_nst[[#This Row],[godziny.konsultacja]],Tabela_SP2_nst[[#This Row],[godziny.egzamin]],Tabela_SP2_nst[[#This Row],[godziny.zajec.razem]])/25)/0.5,0)*0.5,0)</f>
        <v>1</v>
      </c>
      <c r="AQ115" s="225">
        <f>SUM(Tabela_SP2_nst[[#This Row],[godziny.samoksztalcenie]],Tabela_SP2_nst[[#This Row],[godziny.konsultacja]],Tabela_SP2_nst[[#This Row],[godziny.egzamin]],Tabela_SP2_nst[[#This Row],[godziny.zajec.razem]])</f>
        <v>52</v>
      </c>
      <c r="AR115" s="226">
        <f>Tabela_SP2[[#This Row],[godziny.samoksztalcenie]]+(Tabela_SP2[[#This Row],[godziny.zajec.razem]]-Tabela_SP2_nst[[#This Row],[godziny.zajec.razem]])</f>
        <v>29</v>
      </c>
      <c r="AS115" s="227">
        <f>Tabela_SP2[[#This Row],[godziny.konsultacja]]</f>
        <v>3</v>
      </c>
      <c r="AT115" s="228">
        <f>Tabela_SP2[[#This Row],[godziny.egzamin]]</f>
        <v>2</v>
      </c>
      <c r="AU115" s="229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18</v>
      </c>
      <c r="AV115" s="326">
        <f>IF(Tabela_SP2_nst[[#This Row],[ects.bezposr.nauczyciel]],Tabela_SP2_nst[[#This Row],[ects.bezposr.nauczyciel]]/Tabela_SP2_nst[[#This Row],[ects.razem]],0)</f>
        <v>0.33333333333333331</v>
      </c>
      <c r="AW115" s="49"/>
    </row>
    <row r="116" spans="1:49" ht="25.5" customHeight="1" x14ac:dyDescent="0.3">
      <c r="A116" s="207"/>
      <c r="B116" s="331" t="str">
        <f>IF(Tabela_SP2[[#This Row],[kod.isced]]&lt;&gt;"",Tabela_SP2[[#This Row],[kod.isced]],"")</f>
        <v>0412</v>
      </c>
      <c r="C116" s="193" t="str">
        <f>IF(Tabela_SP2[[#This Row],[kod.dziedziny]]&lt;&gt;"",Tabela_SP2[[#This Row],[kod.dziedziny]],"")</f>
        <v>501</v>
      </c>
      <c r="D116" s="193" t="str">
        <f>IF(Tabela_SP2[[#This Row],[Modul]]&lt;&gt;"",Tabela_SP2[[#This Row],[Modul]],"")</f>
        <v>pik.08.1</v>
      </c>
      <c r="E116" s="193" t="str">
        <f>IF(Tabela_SP2[[#This Row],[Umiej.prakt.]]&lt;&gt;"",Tabela_SP2[[#This Row],[Umiej.prakt.]],"")</f>
        <v>up</v>
      </c>
      <c r="F116" s="327" t="str">
        <f>IF(Tabela_SP2[[#This Row],[Nazwa przedmiotu]]&lt;&gt;"",Tabela_SP2[[#This Row],[Nazwa przedmiotu]],"")</f>
        <v>Seminarium dyplomowe</v>
      </c>
      <c r="G116" s="309" t="str">
        <f>IF(Tabela_SP2[[#This Row],[Prowadzacy]]&lt;&gt;"",Tabela_SP2[[#This Row],[Prowadzacy]],"")</f>
        <v/>
      </c>
      <c r="H116" s="155" t="str">
        <f>IF(Tabela_SP2[[#This Row],[Forma]]&lt;&gt;"",Tabela_SP2[[#This Row],[Forma]],"")</f>
        <v>projekt</v>
      </c>
      <c r="I116" s="156" t="str">
        <f>IF(Tabela_SP2[[#This Row],[czy.ects]]&lt;&gt;"",Tabela_SP2[[#This Row],[czy.ects]],"")</f>
        <v>TAK</v>
      </c>
      <c r="J116" s="356" t="str" cm="1">
        <f t="array" ref="J116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6" s="356" t="str" cm="1">
        <f t="array" ref="K116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6" s="356" t="str">
        <f>IF(Tabela_SP2[[#This Row],[sem1.forma]]&lt;&gt;"",Tabela_SP2[[#This Row],[sem1.forma]],"")</f>
        <v/>
      </c>
      <c r="M116" s="357" t="str" cm="1">
        <f t="array" ref="M116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6" s="357" t="str" cm="1">
        <f t="array" ref="N116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6" s="357" t="str">
        <f>IF(Tabela_SP2[[#This Row],[sem2.forma]]&lt;&gt;"",Tabela_SP2[[#This Row],[sem2.forma]],"")</f>
        <v/>
      </c>
      <c r="P116" s="358" t="str" cm="1">
        <f t="array" ref="P116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6" s="359" t="str" cm="1">
        <f t="array" ref="Q116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6" s="358" t="str">
        <f>IF(Tabela_SP2[[#This Row],[sem3.forma]]&lt;&gt;"",Tabela_SP2[[#This Row],[sem3.forma]],"")</f>
        <v/>
      </c>
      <c r="S116" s="355" t="str" cm="1">
        <f t="array" ref="S116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/>
      </c>
      <c r="T116" s="355" t="str" cm="1">
        <f t="array" ref="T116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6" s="355" t="str">
        <f>IF(Tabela_SP2[[#This Row],[sem4.forma]]&lt;&gt;"",Tabela_SP2[[#This Row],[sem4.forma]],"")</f>
        <v/>
      </c>
      <c r="V116" s="180" cm="1">
        <f t="array" ref="V116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18</v>
      </c>
      <c r="W116" s="180">
        <v>3</v>
      </c>
      <c r="X116" s="180" t="str">
        <f>IF(Tabela_SP2[[#This Row],[sem5.forma]]&lt;&gt;"",Tabela_SP2[[#This Row],[sem5.forma]],"")</f>
        <v>z</v>
      </c>
      <c r="Y116" s="181" cm="1">
        <f t="array" ref="Y116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18</v>
      </c>
      <c r="Z116" s="181">
        <v>3</v>
      </c>
      <c r="AA116" s="181" t="str">
        <f>IF(Tabela_SP2[[#This Row],[sem6.forma]]&lt;&gt;"",Tabela_SP2[[#This Row],[sem6.forma]],"")</f>
        <v>z</v>
      </c>
      <c r="AB116" s="182" t="str" cm="1">
        <f t="array" ref="AB116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6" s="182" t="str" cm="1">
        <f t="array" ref="AC116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6" s="182" t="str">
        <f>IF(Tabela_SP2[[#This Row],[sem7.forma]]&lt;&gt;"",Tabela_SP2[[#This Row],[sem7.forma]],"")</f>
        <v/>
      </c>
      <c r="AE116" s="183" t="str" cm="1">
        <f t="array" ref="AE116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6" s="183" t="str" cm="1">
        <f t="array" ref="AF116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6" s="183" t="str">
        <f>IF(Tabela_SP2[[#This Row],[sem8.forma]]&lt;&gt;"",Tabela_SP2[[#This Row],[sem8.forma]],"")</f>
        <v/>
      </c>
      <c r="AH116" s="184" t="str" cm="1">
        <f t="array" ref="AH116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6" s="184" t="str" cm="1">
        <f t="array" ref="AI116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6" s="184" t="str">
        <f>IF(Tabela_SP2[[#This Row],[sem9.forma]]&lt;&gt;"",Tabela_SP2[[#This Row],[sem9.forma]],"")</f>
        <v/>
      </c>
      <c r="AK116" s="185" t="str" cm="1">
        <f t="array" ref="AK116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6" s="185" t="str" cm="1">
        <f t="array" ref="AL116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6" s="185" t="str">
        <f>IF(Tabela_SP2[[#This Row],[sem10.forma]]&lt;&gt;"",Tabela_SP2[[#This Row],[sem10.forma]],"")</f>
        <v/>
      </c>
      <c r="AN116" s="186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6</v>
      </c>
      <c r="AO116" s="223">
        <f>IF(ISERR(SEARCH("UP",Tabela_SP2_nst[[#This Row],[Umiej.prakt.]],1)),0,Tabela_SP2_nst[[#This Row],[ects.razem]])</f>
        <v>6</v>
      </c>
      <c r="AP116" s="224">
        <f>IF(Tabela_SP2_nst[[#This Row],[czy.ects]]="TAK",ROUND((SUM(Tabela_SP2_nst[[#This Row],[godziny.konsultacja]],Tabela_SP2_nst[[#This Row],[godziny.egzamin]],Tabela_SP2_nst[[#This Row],[godziny.zajec.razem]])/25)/0.5,0)*0.5,0)</f>
        <v>2</v>
      </c>
      <c r="AQ116" s="225">
        <f>SUM(Tabela_SP2_nst[[#This Row],[godziny.samoksztalcenie]],Tabela_SP2_nst[[#This Row],[godziny.konsultacja]],Tabela_SP2_nst[[#This Row],[godziny.egzamin]],Tabela_SP2_nst[[#This Row],[godziny.zajec.razem]])</f>
        <v>105</v>
      </c>
      <c r="AR116" s="226">
        <f>Tabela_SP2[[#This Row],[godziny.samoksztalcenie]]+(Tabela_SP2[[#This Row],[godziny.zajec.razem]]-Tabela_SP2_nst[[#This Row],[godziny.zajec.razem]])</f>
        <v>59</v>
      </c>
      <c r="AS116" s="227">
        <f>Tabela_SP2[[#This Row],[godziny.konsultacja]]</f>
        <v>6</v>
      </c>
      <c r="AT116" s="228">
        <f>Tabela_SP2[[#This Row],[godziny.egzamin]]</f>
        <v>4</v>
      </c>
      <c r="AU116" s="229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36</v>
      </c>
      <c r="AV116" s="326">
        <f>IF(Tabela_SP2_nst[[#This Row],[ects.bezposr.nauczyciel]],Tabela_SP2_nst[[#This Row],[ects.bezposr.nauczyciel]]/Tabela_SP2_nst[[#This Row],[ects.razem]],0)</f>
        <v>0.33333333333333331</v>
      </c>
      <c r="AW116" s="49"/>
    </row>
    <row r="117" spans="1:49" ht="25.5" customHeight="1" x14ac:dyDescent="0.3">
      <c r="A117" s="207"/>
      <c r="B117" s="443" t="str">
        <f>IF(Tabela_SP2[[#This Row],[kod.isced]]&lt;&gt;"",Tabela_SP2[[#This Row],[kod.isced]],"")</f>
        <v>0412</v>
      </c>
      <c r="C117" s="437" t="str">
        <f>IF(Tabela_SP2[[#This Row],[kod.dziedziny]]&lt;&gt;"",Tabela_SP2[[#This Row],[kod.dziedziny]],"")</f>
        <v>501</v>
      </c>
      <c r="D117" s="437" t="str">
        <f>IF(Tabela_SP2[[#This Row],[Modul]]&lt;&gt;"",Tabela_SP2[[#This Row],[Modul]],"")</f>
        <v>pik.09.1</v>
      </c>
      <c r="E117" s="437" t="str">
        <f>IF(Tabela_SP2[[#This Row],[Umiej.prakt.]]&lt;&gt;"",Tabela_SP2[[#This Row],[Umiej.prakt.]],"")</f>
        <v/>
      </c>
      <c r="F117" s="444" t="str">
        <f>IF(Tabela_SP2[[#This Row],[Nazwa przedmiotu]]&lt;&gt;"",Tabela_SP2[[#This Row],[Nazwa przedmiotu]],"")</f>
        <v>Instruktaż do praktyk</v>
      </c>
      <c r="G117" s="439" t="str">
        <f>IF(Tabela_SP2[[#This Row],[Prowadzacy]]&lt;&gt;"",Tabela_SP2[[#This Row],[Prowadzacy]],"")</f>
        <v/>
      </c>
      <c r="H117" s="440" t="str">
        <f>IF(Tabela_SP2[[#This Row],[Forma]]&lt;&gt;"",Tabela_SP2[[#This Row],[Forma]],"")</f>
        <v>instruktaż</v>
      </c>
      <c r="I117" s="441" t="str">
        <f>IF(Tabela_SP2[[#This Row],[czy.ects]]&lt;&gt;"",Tabela_SP2[[#This Row],[czy.ects]],"")</f>
        <v>NIE</v>
      </c>
      <c r="J117" s="356" t="str" cm="1">
        <f t="array" ref="J117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7" s="356" t="str" cm="1">
        <f t="array" ref="K117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7" s="356" t="str">
        <f>IF(Tabela_SP2[[#This Row],[sem1.forma]]&lt;&gt;"",Tabela_SP2[[#This Row],[sem1.forma]],"")</f>
        <v/>
      </c>
      <c r="M117" s="357" t="str" cm="1">
        <f t="array" ref="M117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7" s="357" t="str" cm="1">
        <f t="array" ref="N117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7" s="357" t="str">
        <f>IF(Tabela_SP2[[#This Row],[sem2.forma]]&lt;&gt;"",Tabela_SP2[[#This Row],[sem2.forma]],"")</f>
        <v/>
      </c>
      <c r="P117" s="358" t="str" cm="1">
        <f t="array" ref="P117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7" s="359" t="str" cm="1">
        <f t="array" ref="Q117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7" s="358" t="str">
        <f>IF(Tabela_SP2[[#This Row],[sem3.forma]]&lt;&gt;"",Tabela_SP2[[#This Row],[sem3.forma]],"")</f>
        <v/>
      </c>
      <c r="S117" s="355" cm="1">
        <f t="array" ref="S117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>15</v>
      </c>
      <c r="T117" s="355" t="str" cm="1">
        <f t="array" ref="T117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/>
      </c>
      <c r="U117" s="355" t="str">
        <f>IF(Tabela_SP2[[#This Row],[sem4.forma]]&lt;&gt;"",Tabela_SP2[[#This Row],[sem4.forma]],"")</f>
        <v>n</v>
      </c>
      <c r="V117" s="180" cm="1">
        <f t="array" ref="V117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15</v>
      </c>
      <c r="W117" s="180" t="str" cm="1">
        <f t="array" ref="W117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/>
      </c>
      <c r="X117" s="180" t="str">
        <f>IF(Tabela_SP2[[#This Row],[sem5.forma]]&lt;&gt;"",Tabela_SP2[[#This Row],[sem5.forma]],"")</f>
        <v>n</v>
      </c>
      <c r="Y117" s="181" cm="1">
        <f t="array" ref="Y117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15</v>
      </c>
      <c r="Z117" s="181" t="str" cm="1">
        <f t="array" ref="Z117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/>
      </c>
      <c r="AA117" s="181" t="str">
        <f>IF(Tabela_SP2[[#This Row],[sem6.forma]]&lt;&gt;"",Tabela_SP2[[#This Row],[sem6.forma]],"")</f>
        <v>n</v>
      </c>
      <c r="AB117" s="182" t="str" cm="1">
        <f t="array" ref="AB117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7" s="182" t="str" cm="1">
        <f t="array" ref="AC117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7" s="182" t="str">
        <f>IF(Tabela_SP2[[#This Row],[sem7.forma]]&lt;&gt;"",Tabela_SP2[[#This Row],[sem7.forma]],"")</f>
        <v/>
      </c>
      <c r="AE117" s="183" t="str" cm="1">
        <f t="array" ref="AE117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7" s="183" t="str" cm="1">
        <f t="array" ref="AF117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7" s="183" t="str">
        <f>IF(Tabela_SP2[[#This Row],[sem8.forma]]&lt;&gt;"",Tabela_SP2[[#This Row],[sem8.forma]],"")</f>
        <v/>
      </c>
      <c r="AH117" s="184" t="str" cm="1">
        <f t="array" ref="AH117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7" s="184" t="str" cm="1">
        <f t="array" ref="AI117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7" s="184" t="str">
        <f>IF(Tabela_SP2[[#This Row],[sem9.forma]]&lt;&gt;"",Tabela_SP2[[#This Row],[sem9.forma]],"")</f>
        <v/>
      </c>
      <c r="AK117" s="185" t="str" cm="1">
        <f t="array" ref="AK117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7" s="185" t="str" cm="1">
        <f t="array" ref="AL117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7" s="185" t="str">
        <f>IF(Tabela_SP2[[#This Row],[sem10.forma]]&lt;&gt;"",Tabela_SP2[[#This Row],[sem10.forma]],"")</f>
        <v/>
      </c>
      <c r="AN117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0</v>
      </c>
      <c r="AO117" s="389">
        <f>IF(ISERR(SEARCH("UP",Tabela_SP2_nst[[#This Row],[Umiej.prakt.]],1)),0,Tabela_SP2_nst[[#This Row],[ects.razem]])</f>
        <v>0</v>
      </c>
      <c r="AP117" s="390">
        <f>IF(Tabela_SP2_nst[[#This Row],[czy.ects]]="TAK",ROUND((SUM(Tabela_SP2_nst[[#This Row],[godziny.konsultacja]],Tabela_SP2_nst[[#This Row],[godziny.egzamin]],Tabela_SP2_nst[[#This Row],[godziny.zajec.razem]])/25)/0.5,0)*0.5,0)</f>
        <v>0</v>
      </c>
      <c r="AQ117" s="391">
        <f>SUM(Tabela_SP2_nst[[#This Row],[godziny.samoksztalcenie]],Tabela_SP2_nst[[#This Row],[godziny.konsultacja]],Tabela_SP2_nst[[#This Row],[godziny.egzamin]],Tabela_SP2_nst[[#This Row],[godziny.zajec.razem]])</f>
        <v>79</v>
      </c>
      <c r="AR117" s="392">
        <f>Tabela_SP2[[#This Row],[godziny.samoksztalcenie]]+(Tabela_SP2[[#This Row],[godziny.zajec.razem]]-Tabela_SP2_nst[[#This Row],[godziny.zajec.razem]])</f>
        <v>26</v>
      </c>
      <c r="AS117" s="393">
        <f>Tabela_SP2[[#This Row],[godziny.konsultacja]]</f>
        <v>4</v>
      </c>
      <c r="AT117" s="394">
        <f>Tabela_SP2[[#This Row],[godziny.egzamin]]</f>
        <v>4</v>
      </c>
      <c r="AU117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45</v>
      </c>
      <c r="AV117" s="442">
        <f>IF(Tabela_SP2_nst[[#This Row],[ects.bezposr.nauczyciel]],Tabela_SP2_nst[[#This Row],[ects.bezposr.nauczyciel]]/Tabela_SP2_nst[[#This Row],[ects.razem]],0)</f>
        <v>0</v>
      </c>
      <c r="AW117" s="49"/>
    </row>
    <row r="118" spans="1:49" ht="25.5" customHeight="1" x14ac:dyDescent="0.3">
      <c r="A118" s="207"/>
      <c r="B118" s="331" t="str">
        <f>IF(Tabela_SP2[[#This Row],[kod.isced]]&lt;&gt;"",Tabela_SP2[[#This Row],[kod.isced]],"")</f>
        <v>0412</v>
      </c>
      <c r="C118" s="193" t="str">
        <f>IF(Tabela_SP2[[#This Row],[kod.dziedziny]]&lt;&gt;"",Tabela_SP2[[#This Row],[kod.dziedziny]],"")</f>
        <v>501</v>
      </c>
      <c r="D118" s="193" t="str">
        <f>IF(Tabela_SP2[[#This Row],[Modul]]&lt;&gt;"",Tabela_SP2[[#This Row],[Modul]],"")</f>
        <v>pik.09.2</v>
      </c>
      <c r="E118" s="193" t="str">
        <f>IF(Tabela_SP2[[#This Row],[Umiej.prakt.]]&lt;&gt;"",Tabela_SP2[[#This Row],[Umiej.prakt.]],"")</f>
        <v>up</v>
      </c>
      <c r="F118" s="327" t="str">
        <f>IF(Tabela_SP2[[#This Row],[Nazwa przedmiotu]]&lt;&gt;"",Tabela_SP2[[#This Row],[Nazwa przedmiotu]],"")</f>
        <v>Studenckie praktyki zawodowe</v>
      </c>
      <c r="G118" s="309" t="str">
        <f>IF(Tabela_SP2[[#This Row],[Prowadzacy]]&lt;&gt;"",Tabela_SP2[[#This Row],[Prowadzacy]],"")</f>
        <v/>
      </c>
      <c r="H118" s="155" t="str">
        <f>IF(Tabela_SP2[[#This Row],[Forma]]&lt;&gt;"",Tabela_SP2[[#This Row],[Forma]],"")</f>
        <v>praktyka</v>
      </c>
      <c r="I118" s="156" t="str">
        <f>IF(Tabela_SP2[[#This Row],[czy.ects]]&lt;&gt;"",Tabela_SP2[[#This Row],[czy.ects]],"")</f>
        <v>TAK</v>
      </c>
      <c r="J118" s="356" t="str" cm="1">
        <f t="array" ref="J118">_xlfn.IFS(AND(OR(Tabela_SP2[[#This Row],[Forma]]="praktyka",Tabela_SP2[[#This Row],[Forma]]="instruktaż"),Tabela_SP2[[#This Row],[sem1.godziny]]&gt;1),Tabela_SP2[[#This Row],[sem1.godziny]],Tabela_SP2[[#This Row],[sem1.godziny]]&gt;14,Tabela_SP2[[#This Row],[sem1.godziny]]*0.6,Tabela_SP2[[#This Row],[sem1.godziny]]&gt;1,Tabela_SP2[[#This Row],[sem1.godziny]],TRUE,"")</f>
        <v/>
      </c>
      <c r="K118" s="356" t="str" cm="1">
        <f t="array" ref="K118">IF(Tabela_SP2_nst[[#This Row],[czy.ects]]="TAK",_xlfn.IFS(AND(Tabela_SP2_nst[[#This Row],[sem1.godziny]]&gt;=$Q$200,Tabela_SP2_nst[[#This Row],[sem1.forma]]="z"),8,AND(Tabela_SP2_nst[[#This Row],[sem1.godziny]]&gt;=$I$200,Tabela_SP2_nst[[#This Row],[sem1.forma]]="z"),4,AND(Tabela_SP2_nst[[#This Row],[sem1.godziny]]&gt;=$H$200,Tabela_SP2_nst[[#This Row],[sem1.forma]]="e"),2,AND(Tabela_SP2_nst[[#This Row],[sem1.godziny]]&lt;$H$200,Tabela_SP2_nst[[#This Row],[sem1.forma]]="e"),1,AND(Tabela_SP2_nst[[#This Row],[sem1.godziny]]&gt;=$H$200,Tabela_SP2_nst[[#This Row],[sem1.forma]]="z"),2,AND(Tabela_SP2_nst[[#This Row],[sem1.godziny]]&lt;$H$200,Tabela_SP2_nst[[#This Row],[sem1.forma]]="z"),1,TRUE,""),"")</f>
        <v/>
      </c>
      <c r="L118" s="356" t="str">
        <f>IF(Tabela_SP2[[#This Row],[sem1.forma]]&lt;&gt;"",Tabela_SP2[[#This Row],[sem1.forma]],"")</f>
        <v/>
      </c>
      <c r="M118" s="357" t="str" cm="1">
        <f t="array" ref="M118">_xlfn.IFS(AND(OR(Tabela_SP2[[#This Row],[Forma]]="praktyka",Tabela_SP2[[#This Row],[Forma]]="instruktaż"),Tabela_SP2[[#This Row],[sem2.godziny]]&gt;1),Tabela_SP2[[#This Row],[sem2.godziny]],Tabela_SP2[[#This Row],[sem2.godziny]]&gt;14,Tabela_SP2[[#This Row],[sem2.godziny]]*0.6,Tabela_SP2[[#This Row],[sem2.godziny]]&gt;1,Tabela_SP2[[#This Row],[sem2.godziny]],TRUE,"")</f>
        <v/>
      </c>
      <c r="N118" s="357" t="str" cm="1">
        <f t="array" ref="N118">IF(Tabela_SP2_nst[[#This Row],[czy.ects]]="TAK",_xlfn.IFS(AND(Tabela_SP2_nst[[#This Row],[sem2.godziny]]&gt;=$Q$200,Tabela_SP2_nst[[#This Row],[sem2.forma]]="z"),8,AND(Tabela_SP2_nst[[#This Row],[sem2.godziny]]&gt;=$I$200,Tabela_SP2_nst[[#This Row],[sem2.forma]]="z"),4,AND(Tabela_SP2_nst[[#This Row],[sem2.godziny]]&gt;=$H$200,Tabela_SP2_nst[[#This Row],[sem2.forma]]="e"),2,AND(Tabela_SP2_nst[[#This Row],[sem2.godziny]]&lt;$H$200,Tabela_SP2_nst[[#This Row],[sem2.forma]]="e"),1,AND(Tabela_SP2_nst[[#This Row],[sem2.godziny]]&gt;=$H$200,Tabela_SP2_nst[[#This Row],[sem2.forma]]="z"),2,AND(Tabela_SP2_nst[[#This Row],[sem2.godziny]]&lt;$H$200,Tabela_SP2_nst[[#This Row],[sem2.forma]]="z"),1,TRUE,""),"")</f>
        <v/>
      </c>
      <c r="O118" s="357" t="str">
        <f>IF(Tabela_SP2[[#This Row],[sem2.forma]]&lt;&gt;"",Tabela_SP2[[#This Row],[sem2.forma]],"")</f>
        <v/>
      </c>
      <c r="P118" s="358" t="str" cm="1">
        <f t="array" ref="P118">_xlfn.IFS(AND(OR(Tabela_SP2[[#This Row],[Forma]]="praktyka",Tabela_SP2[[#This Row],[Forma]]="instruktaż"),Tabela_SP2[[#This Row],[sem3.godziny]]&gt;1),Tabela_SP2[[#This Row],[sem3.godziny]],Tabela_SP2[[#This Row],[sem3.godziny]]&gt;14,Tabela_SP2[[#This Row],[sem3.godziny]]*0.6,Tabela_SP2[[#This Row],[sem3.godziny]]&gt;1,Tabela_SP2[[#This Row],[sem3.godziny]],TRUE,"")</f>
        <v/>
      </c>
      <c r="Q118" s="359" t="str" cm="1">
        <f t="array" ref="Q118">IF(Tabela_SP2_nst[[#This Row],[czy.ects]]="TAK",_xlfn.IFS(AND(Tabela_SP2_nst[[#This Row],[sem3.godziny]]&gt;=$Q$200,Tabela_SP2_nst[[#This Row],[sem3.forma]]="z"),8,AND(Tabela_SP2_nst[[#This Row],[sem3.godziny]]&gt;=$I$200,Tabela_SP2_nst[[#This Row],[sem3.forma]]="z"),4,AND(Tabela_SP2_nst[[#This Row],[sem3.godziny]]&gt;=$H$200,Tabela_SP2_nst[[#This Row],[sem3.forma]]="e"),2,AND(Tabela_SP2_nst[[#This Row],[sem3.godziny]]&lt;$H$200,Tabela_SP2_nst[[#This Row],[sem3.forma]]="e"),1,AND(Tabela_SP2_nst[[#This Row],[sem3.godziny]]&gt;=$H$200,Tabela_SP2_nst[[#This Row],[sem3.forma]]="z"),2,AND(Tabela_SP2_nst[[#This Row],[sem3.godziny]]&lt;$H$200,Tabela_SP2_nst[[#This Row],[sem3.forma]]="z"),1,TRUE,""),"")</f>
        <v/>
      </c>
      <c r="R118" s="358" t="str">
        <f>IF(Tabela_SP2[[#This Row],[sem3.forma]]&lt;&gt;"",Tabela_SP2[[#This Row],[sem3.forma]],"")</f>
        <v/>
      </c>
      <c r="S118" s="355" cm="1">
        <f t="array" ref="S118">_xlfn.IFS(AND(OR(Tabela_SP2[[#This Row],[Forma]]="praktyka",Tabela_SP2[[#This Row],[Forma]]="instruktaż"),Tabela_SP2[[#This Row],[sem4.godziny]]&gt;1),Tabela_SP2[[#This Row],[sem4.godziny]],Tabela_SP2[[#This Row],[sem4.godziny]]&gt;14,Tabela_SP2[[#This Row],[sem4.godziny]]*0.6,Tabela_SP2[[#This Row],[sem4.godziny]]&gt;1,Tabela_SP2[[#This Row],[sem4.godziny]],TRUE,"")</f>
        <v>200</v>
      </c>
      <c r="T118" s="355" cm="1">
        <f t="array" ref="T118">IF(Tabela_SP2_nst[[#This Row],[czy.ects]]="TAK",_xlfn.IFS(AND(Tabela_SP2_nst[[#This Row],[sem4.godziny]]&gt;=$Q$200,Tabela_SP2_nst[[#This Row],[sem4.forma]]="z"),8,AND(Tabela_SP2_nst[[#This Row],[sem4.godziny]]&gt;=$I$200,Tabela_SP2_nst[[#This Row],[sem4.forma]]="z"),4,AND(Tabela_SP2_nst[[#This Row],[sem4.godziny]]&gt;=$H$200,Tabela_SP2_nst[[#This Row],[sem4.forma]]="e"),2,AND(Tabela_SP2_nst[[#This Row],[sem4.godziny]]&lt;$H$200,Tabela_SP2_nst[[#This Row],[sem4.forma]]="e"),1,AND(Tabela_SP2_nst[[#This Row],[sem4.godziny]]&gt;=$H$200,Tabela_SP2_nst[[#This Row],[sem4.forma]]="z"),2,AND(Tabela_SP2_nst[[#This Row],[sem4.godziny]]&lt;$H$200,Tabela_SP2_nst[[#This Row],[sem4.forma]]="z"),1,TRUE,""),"")</f>
        <v>8</v>
      </c>
      <c r="U118" s="355" t="str">
        <f>IF(Tabela_SP2[[#This Row],[sem4.forma]]&lt;&gt;"",Tabela_SP2[[#This Row],[sem4.forma]],"")</f>
        <v>z</v>
      </c>
      <c r="V118" s="180" cm="1">
        <f t="array" ref="V118">_xlfn.IFS(AND(OR(Tabela_SP2[[#This Row],[Forma]]="praktyka",Tabela_SP2[[#This Row],[Forma]]="instruktaż"),Tabela_SP2[[#This Row],[sem5.godziny]]&gt;1),Tabela_SP2[[#This Row],[sem5.godziny]],Tabela_SP2[[#This Row],[sem5.godziny]]&gt;14,Tabela_SP2[[#This Row],[sem5.godziny]]*0.6,Tabela_SP2[[#This Row],[sem5.godziny]]&gt;1,Tabela_SP2[[#This Row],[sem5.godziny]],TRUE,"")</f>
        <v>200</v>
      </c>
      <c r="W118" s="180" cm="1">
        <f t="array" ref="W118">IF(Tabela_SP2_nst[[#This Row],[czy.ects]]="TAK",_xlfn.IFS(AND(Tabela_SP2_nst[[#This Row],[sem5.godziny]]&gt;=$Q$200,Tabela_SP2_nst[[#This Row],[sem5.forma]]="z"),8,AND(Tabela_SP2_nst[[#This Row],[sem5.godziny]]&gt;=$I$200,Tabela_SP2_nst[[#This Row],[sem5.forma]]="z"),4,AND(Tabela_SP2_nst[[#This Row],[sem5.godziny]]&gt;=$H$200,Tabela_SP2_nst[[#This Row],[sem5.forma]]="e"),2,AND(Tabela_SP2_nst[[#This Row],[sem5.godziny]]&lt;$H$200,Tabela_SP2_nst[[#This Row],[sem5.forma]]="e"),1,AND(Tabela_SP2_nst[[#This Row],[sem5.godziny]]&gt;=$H$200,Tabela_SP2_nst[[#This Row],[sem5.forma]]="z"),2,AND(Tabela_SP2_nst[[#This Row],[sem5.godziny]]&lt;$H$200,Tabela_SP2_nst[[#This Row],[sem5.forma]]="z"),1,TRUE,""),"")</f>
        <v>8</v>
      </c>
      <c r="X118" s="180" t="str">
        <f>IF(Tabela_SP2[[#This Row],[sem5.forma]]&lt;&gt;"",Tabela_SP2[[#This Row],[sem5.forma]],"")</f>
        <v>z</v>
      </c>
      <c r="Y118" s="181" cm="1">
        <f t="array" ref="Y118">_xlfn.IFS(AND(OR(Tabela_SP2[[#This Row],[Forma]]="praktyka",Tabela_SP2[[#This Row],[Forma]]="instruktaż"),Tabela_SP2[[#This Row],[sem6.godziny]]&gt;1),Tabela_SP2[[#This Row],[sem6.godziny]],Tabela_SP2[[#This Row],[sem6.godziny]]&gt;14,Tabela_SP2[[#This Row],[sem6.godziny]]*0.6,Tabela_SP2[[#This Row],[sem6.godziny]]&gt;1,Tabela_SP2[[#This Row],[sem6.godziny]],TRUE,"")</f>
        <v>208</v>
      </c>
      <c r="Z118" s="181" cm="1">
        <f t="array" ref="Z118">IF(Tabela_SP2_nst[[#This Row],[czy.ects]]="TAK",_xlfn.IFS(AND(Tabela_SP2_nst[[#This Row],[sem6.godziny]]&gt;=$Q$200,Tabela_SP2_nst[[#This Row],[sem6.forma]]="z"),8,AND(Tabela_SP2_nst[[#This Row],[sem6.godziny]]&gt;=$I$200,Tabela_SP2_nst[[#This Row],[sem6.forma]]="z"),4,AND(Tabela_SP2_nst[[#This Row],[sem6.godziny]]&gt;=$H$200,Tabela_SP2_nst[[#This Row],[sem6.forma]]="e"),2,AND(Tabela_SP2_nst[[#This Row],[sem6.godziny]]&lt;$H$200,Tabela_SP2_nst[[#This Row],[sem6.forma]]="e"),1,AND(Tabela_SP2_nst[[#This Row],[sem6.godziny]]&gt;=$H$200,Tabela_SP2_nst[[#This Row],[sem6.forma]]="z"),2,AND(Tabela_SP2_nst[[#This Row],[sem6.godziny]]&lt;$H$200,Tabela_SP2_nst[[#This Row],[sem6.forma]]="z"),1,TRUE,""),"")</f>
        <v>8</v>
      </c>
      <c r="AA118" s="181" t="str">
        <f>IF(Tabela_SP2[[#This Row],[sem6.forma]]&lt;&gt;"",Tabela_SP2[[#This Row],[sem6.forma]],"")</f>
        <v>z</v>
      </c>
      <c r="AB118" s="182" t="str" cm="1">
        <f t="array" ref="AB118">_xlfn.IFS(AND(OR(Tabela_SP2[[#This Row],[Forma]]="praktyka",Tabela_SP2[[#This Row],[Forma]]="instruktaż"),Tabela_SP2[[#This Row],[sem7.godziny]]&gt;1),Tabela_SP2[[#This Row],[sem7.godziny]],Tabela_SP2[[#This Row],[sem7.godziny]]&gt;14,Tabela_SP2[[#This Row],[sem7.godziny]]*0.6,Tabela_SP2[[#This Row],[sem7.godziny]]&gt;1,Tabela_SP2[[#This Row],[sem7.godziny]],TRUE,"")</f>
        <v/>
      </c>
      <c r="AC118" s="182" t="str" cm="1">
        <f t="array" ref="AC118">IF(Tabela_SP2_nst[[#This Row],[czy.ects]]="TAK",_xlfn.IFS(AND(Tabela_SP2_nst[[#This Row],[sem7.godziny]]&gt;=$Q$200,Tabela_SP2_nst[[#This Row],[sem7.forma]]="z"),8,AND(Tabela_SP2_nst[[#This Row],[sem7.godziny]]&gt;=$I$200,Tabela_SP2_nst[[#This Row],[sem7.forma]]="z"),4,AND(Tabela_SP2_nst[[#This Row],[sem7.godziny]]&gt;=$H$200,Tabela_SP2_nst[[#This Row],[sem7.forma]]="e"),2,AND(Tabela_SP2_nst[[#This Row],[sem7.godziny]]&lt;$H$200,Tabela_SP2_nst[[#This Row],[sem7.forma]]="e"),1,AND(Tabela_SP2_nst[[#This Row],[sem7.godziny]]&gt;=$H$200,Tabela_SP2_nst[[#This Row],[sem7.forma]]="z"),2,AND(Tabela_SP2_nst[[#This Row],[sem7.godziny]]&lt;$H$200,Tabela_SP2_nst[[#This Row],[sem7.forma]]="z"),1,TRUE,""),"")</f>
        <v/>
      </c>
      <c r="AD118" s="182" t="str">
        <f>IF(Tabela_SP2[[#This Row],[sem7.forma]]&lt;&gt;"",Tabela_SP2[[#This Row],[sem7.forma]],"")</f>
        <v/>
      </c>
      <c r="AE118" s="183" t="str" cm="1">
        <f t="array" ref="AE118">_xlfn.IFS(AND(OR(Tabela_SP2[[#This Row],[Forma]]="praktyka",Tabela_SP2[[#This Row],[Forma]]="instruktaż"),Tabela_SP2[[#This Row],[sem8.godziny]]&gt;1),Tabela_SP2[[#This Row],[sem8.godziny]],Tabela_SP2[[#This Row],[sem8.godziny]]&gt;14,Tabela_SP2[[#This Row],[sem8.godziny]]*0.6,Tabela_SP2[[#This Row],[sem8.godziny]]&gt;1,Tabela_SP2[[#This Row],[sem8.godziny]],TRUE,"")</f>
        <v/>
      </c>
      <c r="AF118" s="183" t="str" cm="1">
        <f t="array" ref="AF118">IF(Tabela_SP2_nst[[#This Row],[czy.ects]]="TAK",_xlfn.IFS(AND(Tabela_SP2_nst[[#This Row],[sem8.godziny]]&gt;=$Q$200,Tabela_SP2_nst[[#This Row],[sem8.forma]]="z"),8,AND(Tabela_SP2_nst[[#This Row],[sem8.godziny]]&gt;=$I$200,Tabela_SP2_nst[[#This Row],[sem8.forma]]="z"),4,AND(Tabela_SP2_nst[[#This Row],[sem8.godziny]]&gt;=$H$200,Tabela_SP2_nst[[#This Row],[sem8.forma]]="e"),2,AND(Tabela_SP2_nst[[#This Row],[sem8.godziny]]&lt;$H$200,Tabela_SP2_nst[[#This Row],[sem8.forma]]="e"),1,AND(Tabela_SP2_nst[[#This Row],[sem8.godziny]]&gt;=$H$200,Tabela_SP2_nst[[#This Row],[sem8.forma]]="z"),2,AND(Tabela_SP2_nst[[#This Row],[sem8.godziny]]&lt;$H$200,Tabela_SP2_nst[[#This Row],[sem8.forma]]="z"),1,TRUE,""),"")</f>
        <v/>
      </c>
      <c r="AG118" s="183" t="str">
        <f>IF(Tabela_SP2[[#This Row],[sem8.forma]]&lt;&gt;"",Tabela_SP2[[#This Row],[sem8.forma]],"")</f>
        <v/>
      </c>
      <c r="AH118" s="184" t="str" cm="1">
        <f t="array" ref="AH118">_xlfn.IFS(AND(OR(Tabela_SP2[[#This Row],[Forma]]="praktyka",Tabela_SP2[[#This Row],[Forma]]="instruktaż"),Tabela_SP2[[#This Row],[sem9.godziny]]&gt;1),Tabela_SP2[[#This Row],[sem9.godziny]],Tabela_SP2[[#This Row],[sem9.godziny]]&gt;14,Tabela_SP2[[#This Row],[sem9.godziny]]*0.6,Tabela_SP2[[#This Row],[sem9.godziny]]&gt;1,Tabela_SP2[[#This Row],[sem9.godziny]],TRUE,"")</f>
        <v/>
      </c>
      <c r="AI118" s="184" t="str" cm="1">
        <f t="array" ref="AI118">IF(Tabela_SP2_nst[[#This Row],[czy.ects]]="TAK",_xlfn.IFS(AND(Tabela_SP2_nst[[#This Row],[sem9.godziny]]&gt;=$Q$200,Tabela_SP2_nst[[#This Row],[sem9.forma]]="z"),8,AND(Tabela_SP2_nst[[#This Row],[sem9.godziny]]&gt;=$I$200,Tabela_SP2_nst[[#This Row],[sem9.forma]]="z"),4,AND(Tabela_SP2_nst[[#This Row],[sem9.godziny]]&gt;=$H$200,Tabela_SP2_nst[[#This Row],[sem9.forma]]="e"),2,AND(Tabela_SP2_nst[[#This Row],[sem9.godziny]]&lt;$H$200,Tabela_SP2_nst[[#This Row],[sem9.forma]]="e"),1,AND(Tabela_SP2_nst[[#This Row],[sem9.godziny]]&gt;=$H$200,Tabela_SP2_nst[[#This Row],[sem9.forma]]="z"),2,AND(Tabela_SP2_nst[[#This Row],[sem9.godziny]]&lt;$H$200,Tabela_SP2_nst[[#This Row],[sem9.forma]]="z"),1,TRUE,""),"")</f>
        <v/>
      </c>
      <c r="AJ118" s="184" t="str">
        <f>IF(Tabela_SP2[[#This Row],[sem9.forma]]&lt;&gt;"",Tabela_SP2[[#This Row],[sem9.forma]],"")</f>
        <v/>
      </c>
      <c r="AK118" s="185" t="str" cm="1">
        <f t="array" ref="AK118">_xlfn.IFS(AND(OR(Tabela_SP2[[#This Row],[Forma]]="praktyka",Tabela_SP2[[#This Row],[Forma]]="instruktaż"),Tabela_SP2[[#This Row],[sem10.godziny]]&gt;1),Tabela_SP2[[#This Row],[sem10.godziny]],Tabela_SP2[[#This Row],[sem10.godziny]]&gt;14,Tabela_SP2[[#This Row],[sem10.godziny]]*0.6,Tabela_SP2[[#This Row],[sem10.godziny]]&gt;1,Tabela_SP2[[#This Row],[sem10.godziny]],TRUE,"")</f>
        <v/>
      </c>
      <c r="AL118" s="185" t="str" cm="1">
        <f t="array" ref="AL118">IF(Tabela_SP2_nst[[#This Row],[czy.ects]]="TAK",_xlfn.IFS(AND(Tabela_SP2_nst[[#This Row],[sem10.godziny]]&gt;=$Q$200,Tabela_SP2_nst[[#This Row],[sem10.forma]]="z"),8,AND(Tabela_SP2_nst[[#This Row],[sem10.godziny]]&gt;=$I$200,Tabela_SP2_nst[[#This Row],[sem10.forma]]="z"),4,AND(Tabela_SP2_nst[[#This Row],[sem10.godziny]]&gt;=$H$200,Tabela_SP2_nst[[#This Row],[sem10.forma]]="e"),2,AND(Tabela_SP2_nst[[#This Row],[sem10.godziny]]&lt;$H$200,Tabela_SP2_nst[[#This Row],[sem10.forma]]="e"),1,AND(Tabela_SP2_nst[[#This Row],[sem10.godziny]]&gt;=$H$200,Tabela_SP2_nst[[#This Row],[sem10.forma]]="z"),2,AND(Tabela_SP2_nst[[#This Row],[sem10.godziny]]&lt;$H$200,Tabela_SP2_nst[[#This Row],[sem10.forma]]="z"),1,TRUE,""),"")</f>
        <v/>
      </c>
      <c r="AM118" s="185" t="str">
        <f>IF(Tabela_SP2[[#This Row],[sem10.forma]]&lt;&gt;"",Tabela_SP2[[#This Row],[sem10.forma]],"")</f>
        <v/>
      </c>
      <c r="AN118" s="447">
        <f>SUM(Tabela_SP2_nst[[#This Row],[sem1.ects]],Tabela_SP2_nst[[#This Row],[sem2.ects]],Tabela_SP2_nst[[#This Row],[sem3.ects]],Tabela_SP2_nst[[#This Row],[sem4.ects]],Tabela_SP2_nst[[#This Row],[sem5.ects]],Tabela_SP2_nst[[#This Row],[sem6.ects]],Tabela_SP2_nst[[#This Row],[sem7.ects]],Tabela_SP2_nst[[#This Row],[sem8.ects]],Tabela_SP2_nst[[#This Row],[sem9.ects]],Tabela_SP2_nst[[#This Row],[sem10.ects]])</f>
        <v>24</v>
      </c>
      <c r="AO118" s="389">
        <f>IF(ISERR(SEARCH("UP",Tabela_SP2_nst[[#This Row],[Umiej.prakt.]],1)),0,Tabela_SP2_nst[[#This Row],[ects.razem]])</f>
        <v>24</v>
      </c>
      <c r="AP118" s="390">
        <f>IF(Tabela_SP2_nst[[#This Row],[czy.ects]]="TAK",ROUND((SUM(Tabela_SP2_nst[[#This Row],[godziny.konsultacja]],Tabela_SP2_nst[[#This Row],[godziny.egzamin]],Tabela_SP2_nst[[#This Row],[godziny.zajec.razem]])/25)/0.5,0)*0.5,0)</f>
        <v>27</v>
      </c>
      <c r="AQ118" s="391">
        <f>SUM(Tabela_SP2_nst[[#This Row],[godziny.samoksztalcenie]],Tabela_SP2_nst[[#This Row],[godziny.konsultacja]],Tabela_SP2_nst[[#This Row],[godziny.egzamin]],Tabela_SP2_nst[[#This Row],[godziny.zajec.razem]])</f>
        <v>1008</v>
      </c>
      <c r="AR118" s="392">
        <f>Tabela_SP2[[#This Row],[godziny.samoksztalcenie]]+(Tabela_SP2[[#This Row],[godziny.zajec.razem]]-Tabela_SP2_nst[[#This Row],[godziny.zajec.razem]])</f>
        <v>336</v>
      </c>
      <c r="AS118" s="393">
        <f>Tabela_SP2[[#This Row],[godziny.konsultacja]]</f>
        <v>60</v>
      </c>
      <c r="AT118" s="394">
        <f>Tabela_SP2[[#This Row],[godziny.egzamin]]</f>
        <v>4</v>
      </c>
      <c r="AU118" s="395">
        <f>SUM(Tabela_SP2_nst[[#This Row],[sem1.godziny]],Tabela_SP2_nst[[#This Row],[sem2.godziny]],Tabela_SP2_nst[[#This Row],[sem3.godziny]],Tabela_SP2_nst[[#This Row],[sem4.godziny]],Tabela_SP2_nst[[#This Row],[sem5.godziny]],Tabela_SP2_nst[[#This Row],[sem6.godziny]],Tabela_SP2_nst[[#This Row],[sem7.godziny]],Tabela_SP2_nst[[#This Row],[sem8.godziny]],Tabela_SP2_nst[[#This Row],[sem9.godziny]],Tabela_SP2_nst[[#This Row],[sem10.godziny]])</f>
        <v>608</v>
      </c>
      <c r="AV118" s="442">
        <f>IF(Tabela_SP2_nst[[#This Row],[ects.bezposr.nauczyciel]],Tabela_SP2_nst[[#This Row],[ects.bezposr.nauczyciel]]/Tabela_SP2_nst[[#This Row],[ects.razem]],0)</f>
        <v>1.125</v>
      </c>
      <c r="AW118" s="49"/>
    </row>
    <row r="119" spans="1:49" ht="7.5" customHeight="1" thickBot="1" x14ac:dyDescent="0.35">
      <c r="A119" s="207"/>
      <c r="B119" s="77"/>
      <c r="C119" s="49"/>
      <c r="D119" s="49"/>
      <c r="E119" s="49"/>
      <c r="F119" s="7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78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207"/>
      <c r="AP119" s="207"/>
      <c r="AQ119" s="207"/>
      <c r="AR119" s="207"/>
      <c r="AS119" s="207"/>
      <c r="AT119" s="207"/>
      <c r="AU119" s="207"/>
      <c r="AV119" s="207"/>
      <c r="AW119" s="207"/>
    </row>
    <row r="120" spans="1:49" ht="25.5" customHeight="1" thickBot="1" x14ac:dyDescent="0.35">
      <c r="A120" s="207"/>
      <c r="B120" s="790" t="str">
        <f>'PLAN ST'!B120</f>
        <v>RAZEM W GRUPIE SPECJALNOŚCI: Menedżer projektów europejskich</v>
      </c>
      <c r="C120" s="791"/>
      <c r="D120" s="791"/>
      <c r="E120" s="791"/>
      <c r="F120" s="791"/>
      <c r="G120" s="791"/>
      <c r="H120" s="791"/>
      <c r="I120" s="791"/>
      <c r="J120" s="98">
        <f>SUM(Tabela_SP3_nst[sem1.godziny])</f>
        <v>0</v>
      </c>
      <c r="K120" s="98">
        <f>SUM(Tabela_SP3_nst[sem1.ects])</f>
        <v>0</v>
      </c>
      <c r="L120" s="98"/>
      <c r="M120" s="98">
        <f>SUM(Tabela_SP3_nst[sem2.godziny])</f>
        <v>0</v>
      </c>
      <c r="N120" s="98">
        <f>SUM(Tabela_SP3_nst[sem2.ects])</f>
        <v>0</v>
      </c>
      <c r="O120" s="98"/>
      <c r="P120" s="98">
        <f>SUM(Tabela_SP3_nst[sem3.godziny])</f>
        <v>0</v>
      </c>
      <c r="Q120" s="98">
        <f>SUM(Tabela_SP3_nst[sem3.ects])</f>
        <v>0</v>
      </c>
      <c r="R120" s="98"/>
      <c r="S120" s="98">
        <f>SUM(Tabela_SP3_nst[sem4.godziny])</f>
        <v>251</v>
      </c>
      <c r="T120" s="98">
        <f>SUM(Tabela_SP3_nst[sem4.ects])</f>
        <v>14</v>
      </c>
      <c r="U120" s="98"/>
      <c r="V120" s="98">
        <f>SUM(Tabela_SP3_nst[sem5.godziny])</f>
        <v>296</v>
      </c>
      <c r="W120" s="98">
        <f>SUM(Tabela_SP3_nst[sem5.ects])</f>
        <v>21</v>
      </c>
      <c r="X120" s="98"/>
      <c r="Y120" s="98">
        <f>SUM(Tabela_SP3_nst[sem6.godziny])</f>
        <v>304</v>
      </c>
      <c r="Z120" s="98">
        <f>SUM(Tabela_SP3_nst[sem6.ects])</f>
        <v>21</v>
      </c>
      <c r="AA120" s="98"/>
      <c r="AB120" s="98">
        <f>SUM(Tabela_SP3_nst[sem7.godziny])</f>
        <v>0</v>
      </c>
      <c r="AC120" s="98">
        <f>SUM(Tabela_SP3_nst[sem7.ects])</f>
        <v>0</v>
      </c>
      <c r="AD120" s="98"/>
      <c r="AE120" s="98">
        <f>SUM(Tabela_SP3_nst[sem8.godziny])</f>
        <v>0</v>
      </c>
      <c r="AF120" s="98">
        <f>SUM(Tabela_SP3_nst[sem8.ects])</f>
        <v>0</v>
      </c>
      <c r="AG120" s="98"/>
      <c r="AH120" s="98">
        <f>SUM(Tabela_SP3_nst[sem9.godziny])</f>
        <v>0</v>
      </c>
      <c r="AI120" s="98">
        <f>SUM(Tabela_SP3_nst[sem9.ects])</f>
        <v>0</v>
      </c>
      <c r="AJ120" s="98"/>
      <c r="AK120" s="98">
        <f>SUM(Tabela_SP3_nst[sem10.godziny])</f>
        <v>0</v>
      </c>
      <c r="AL120" s="98">
        <f>SUM(Tabela_SP3_nst[sem10.ects])</f>
        <v>0</v>
      </c>
      <c r="AM120" s="98"/>
      <c r="AN120" s="98">
        <f>SUM(Tabela_SP3_nst[ects.razem])</f>
        <v>56</v>
      </c>
      <c r="AO120" s="98">
        <f>SUM(Tabela_SP3_nst[ects.umiej.prakt.])</f>
        <v>56</v>
      </c>
      <c r="AP120" s="98">
        <f>SUM(Tabela_SP3_nst[ects.bezposr.nauczyciel])</f>
        <v>38</v>
      </c>
      <c r="AQ120" s="98">
        <f>SUM(Tabela_SP3_nst[godziny.razem.student])</f>
        <v>1662</v>
      </c>
      <c r="AR120" s="98">
        <f>SUM(Tabela_SP3_nst[godziny.samoksztalcenie])</f>
        <v>683</v>
      </c>
      <c r="AS120" s="98">
        <f>SUM(Tabela_SP3_nst[godziny.konsultacja])</f>
        <v>96</v>
      </c>
      <c r="AT120" s="98">
        <f>SUM(Tabela_SP3_nst[godziny.egzamin])</f>
        <v>32</v>
      </c>
      <c r="AU120" s="98">
        <f>SUM(Tabela_SP3_nst[godziny.zajec.razem])</f>
        <v>851</v>
      </c>
      <c r="AV120" s="6"/>
      <c r="AW120" s="207"/>
    </row>
    <row r="121" spans="1:49" ht="25.5" hidden="1" customHeight="1" x14ac:dyDescent="0.3">
      <c r="A121" s="207"/>
      <c r="B121" s="147" t="s">
        <v>374</v>
      </c>
      <c r="C121" s="148" t="s">
        <v>373</v>
      </c>
      <c r="D121" s="148" t="s">
        <v>372</v>
      </c>
      <c r="E121" s="148" t="s">
        <v>371</v>
      </c>
      <c r="F121" s="305" t="s">
        <v>368</v>
      </c>
      <c r="G121" s="306" t="s">
        <v>369</v>
      </c>
      <c r="H121" s="149" t="s">
        <v>370</v>
      </c>
      <c r="I121" s="150" t="s">
        <v>375</v>
      </c>
      <c r="J121" s="80" t="s">
        <v>376</v>
      </c>
      <c r="K121" s="80" t="s">
        <v>377</v>
      </c>
      <c r="L121" s="80" t="s">
        <v>378</v>
      </c>
      <c r="M121" s="81" t="s">
        <v>379</v>
      </c>
      <c r="N121" s="81" t="s">
        <v>380</v>
      </c>
      <c r="O121" s="81" t="s">
        <v>381</v>
      </c>
      <c r="P121" s="151" t="s">
        <v>382</v>
      </c>
      <c r="Q121" s="82" t="s">
        <v>383</v>
      </c>
      <c r="R121" s="151" t="s">
        <v>384</v>
      </c>
      <c r="S121" s="83" t="s">
        <v>385</v>
      </c>
      <c r="T121" s="83" t="s">
        <v>386</v>
      </c>
      <c r="U121" s="83" t="s">
        <v>387</v>
      </c>
      <c r="V121" s="84" t="s">
        <v>388</v>
      </c>
      <c r="W121" s="84" t="s">
        <v>389</v>
      </c>
      <c r="X121" s="84" t="s">
        <v>390</v>
      </c>
      <c r="Y121" s="85" t="s">
        <v>391</v>
      </c>
      <c r="Z121" s="85" t="s">
        <v>392</v>
      </c>
      <c r="AA121" s="85" t="s">
        <v>393</v>
      </c>
      <c r="AB121" s="86" t="s">
        <v>394</v>
      </c>
      <c r="AC121" s="86" t="s">
        <v>395</v>
      </c>
      <c r="AD121" s="86" t="s">
        <v>396</v>
      </c>
      <c r="AE121" s="99" t="s">
        <v>409</v>
      </c>
      <c r="AF121" s="99" t="s">
        <v>410</v>
      </c>
      <c r="AG121" s="99" t="s">
        <v>411</v>
      </c>
      <c r="AH121" s="100" t="s">
        <v>412</v>
      </c>
      <c r="AI121" s="100" t="s">
        <v>413</v>
      </c>
      <c r="AJ121" s="100" t="s">
        <v>414</v>
      </c>
      <c r="AK121" s="101" t="s">
        <v>415</v>
      </c>
      <c r="AL121" s="101" t="s">
        <v>416</v>
      </c>
      <c r="AM121" s="101" t="s">
        <v>417</v>
      </c>
      <c r="AN121" s="87" t="s">
        <v>397</v>
      </c>
      <c r="AO121" s="88" t="s">
        <v>398</v>
      </c>
      <c r="AP121" s="89" t="s">
        <v>399</v>
      </c>
      <c r="AQ121" s="211" t="s">
        <v>400</v>
      </c>
      <c r="AR121" s="90" t="s">
        <v>401</v>
      </c>
      <c r="AS121" s="91" t="s">
        <v>402</v>
      </c>
      <c r="AT121" s="80" t="s">
        <v>403</v>
      </c>
      <c r="AU121" s="92" t="s">
        <v>404</v>
      </c>
      <c r="AV121" s="212" t="s">
        <v>405</v>
      </c>
      <c r="AW121" s="207"/>
    </row>
    <row r="122" spans="1:49" ht="25.5" customHeight="1" x14ac:dyDescent="0.3">
      <c r="A122" s="207"/>
      <c r="B122" s="333" t="str">
        <f>IF(Tabela_SP3[[#This Row],[kod.isced]]&lt;&gt;"",Tabela_SP3[[#This Row],[kod.isced]],"")</f>
        <v>0412</v>
      </c>
      <c r="C122" s="193">
        <f>IF(Tabela_SP3[[#This Row],[kod.dziedziny]]&lt;&gt;"",Tabela_SP3[[#This Row],[kod.dziedziny]],"")</f>
        <v>501</v>
      </c>
      <c r="D122" s="193" t="str">
        <f>IF(Tabela_SP3[[#This Row],[Modul]]&lt;&gt;"",Tabela_SP3[[#This Row],[Modul]],"")</f>
        <v>mpe.01.1</v>
      </c>
      <c r="E122" s="193" t="str">
        <f>IF(Tabela_SP3[[#This Row],[Umiej.prakt.]]&lt;&gt;"",Tabela_SP3[[#This Row],[Umiej.prakt.]],"")</f>
        <v>up</v>
      </c>
      <c r="F122" s="308" t="str">
        <f>IF(Tabela_SP3[[#This Row],[Nazwa przedmiotu]]&lt;&gt;"",Tabela_SP3[[#This Row],[Nazwa przedmiotu]],"")</f>
        <v>Fundusze strukturalne UE</v>
      </c>
      <c r="G122" s="309" t="str">
        <f>IF(Tabela_SP3[[#This Row],[Prowadzacy]]&lt;&gt;"",Tabela_SP3[[#This Row],[Prowadzacy]],"")</f>
        <v/>
      </c>
      <c r="H122" s="155" t="str">
        <f>IF(Tabela_SP3[[#This Row],[Forma]]&lt;&gt;"",Tabela_SP3[[#This Row],[Forma]],"")</f>
        <v>konwersatorium</v>
      </c>
      <c r="I122" s="156" t="str">
        <f>IF(Tabela_SP3[[#This Row],[czy.ects]]&lt;&gt;"",Tabela_SP3[[#This Row],[czy.ects]],"")</f>
        <v>TAK</v>
      </c>
      <c r="J122" s="356" t="str" cm="1">
        <f t="array" ref="J122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2" s="356" t="str" cm="1">
        <f t="array" ref="K122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2" s="356" t="str">
        <f>IF(Tabela_SP3[[#This Row],[sem1.forma]]&lt;&gt;"",Tabela_SP3[[#This Row],[sem1.forma]],"")</f>
        <v/>
      </c>
      <c r="M122" s="357" t="str" cm="1">
        <f t="array" ref="M122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2" s="357" t="str" cm="1">
        <f t="array" ref="N122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2" s="357" t="str">
        <f>IF(Tabela_SP3[[#This Row],[sem2.forma]]&lt;&gt;"",Tabela_SP3[[#This Row],[sem2.forma]],"")</f>
        <v/>
      </c>
      <c r="P122" s="358" t="str" cm="1">
        <f t="array" ref="P122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2" s="359" t="str" cm="1">
        <f t="array" ref="Q122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2" s="358" t="str">
        <f>IF(Tabela_SP3[[#This Row],[sem3.forma]]&lt;&gt;"",Tabela_SP3[[#This Row],[sem3.forma]],"")</f>
        <v/>
      </c>
      <c r="S122" s="355" cm="1">
        <f t="array" ref="S122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>18</v>
      </c>
      <c r="T122" s="355">
        <v>3</v>
      </c>
      <c r="U122" s="355" t="str">
        <f>IF(Tabela_SP3[[#This Row],[sem4.forma]]&lt;&gt;"",Tabela_SP3[[#This Row],[sem4.forma]],"")</f>
        <v>z</v>
      </c>
      <c r="V122" s="180" t="str" cm="1">
        <f t="array" ref="V122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/>
      </c>
      <c r="W122" s="180" t="str" cm="1">
        <f t="array" ref="W122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22" s="180" t="str">
        <f>IF(Tabela_SP3[[#This Row],[sem5.forma]]&lt;&gt;"",Tabela_SP3[[#This Row],[sem5.forma]],"")</f>
        <v/>
      </c>
      <c r="Y122" s="181" t="str" cm="1">
        <f t="array" ref="Y122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/>
      </c>
      <c r="Z122" s="181" t="str" cm="1">
        <f t="array" ref="Z122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22" s="181" t="str">
        <f>IF(Tabela_SP3[[#This Row],[sem6.forma]]&lt;&gt;"",Tabela_SP3[[#This Row],[sem6.forma]],"")</f>
        <v/>
      </c>
      <c r="AB122" s="182" t="str" cm="1">
        <f t="array" ref="AB122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2" s="182" t="str" cm="1">
        <f t="array" ref="AC122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2" s="182" t="str">
        <f>IF(Tabela_SP3[[#This Row],[sem7.forma]]&lt;&gt;"",Tabela_SP3[[#This Row],[sem7.forma]],"")</f>
        <v/>
      </c>
      <c r="AE122" s="183" t="str" cm="1">
        <f t="array" ref="AE122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2" s="183" t="str" cm="1">
        <f t="array" ref="AF122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2" s="183" t="str">
        <f>IF(Tabela_SP3[[#This Row],[sem8.forma]]&lt;&gt;"",Tabela_SP3[[#This Row],[sem8.forma]],"")</f>
        <v/>
      </c>
      <c r="AH122" s="184" t="str" cm="1">
        <f t="array" ref="AH122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2" s="184" t="str" cm="1">
        <f t="array" ref="AI122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2" s="184" t="str">
        <f>IF(Tabela_SP3[[#This Row],[sem9.forma]]&lt;&gt;"",Tabela_SP3[[#This Row],[sem9.forma]],"")</f>
        <v/>
      </c>
      <c r="AK122" s="185" t="str" cm="1">
        <f t="array" ref="AK122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2" s="185" t="str" cm="1">
        <f t="array" ref="AL122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2" s="185" t="str">
        <f>IF(Tabela_SP3[[#This Row],[sem10.forma]]&lt;&gt;"",Tabela_SP3[[#This Row],[sem10.forma]],"")</f>
        <v/>
      </c>
      <c r="AN122" s="186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2" s="187">
        <f>IF(ISERR(SEARCH("UP",Tabela_SP3_nst[[#This Row],[Umiej.prakt.]],1)),0,Tabela_SP3_nst[[#This Row],[ects.razem]])</f>
        <v>3</v>
      </c>
      <c r="AP122" s="188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2" s="310">
        <f>SUM(Tabela_SP3_nst[[#This Row],[godziny.samoksztalcenie]],Tabela_SP3_nst[[#This Row],[godziny.konsultacja]],Tabela_SP3_nst[[#This Row],[godziny.egzamin]],Tabela_SP3_nst[[#This Row],[godziny.zajec.razem]])</f>
        <v>52</v>
      </c>
      <c r="AR122" s="311">
        <f>Tabela_SP3[[#This Row],[godziny.samoksztalcenie]]+(Tabela_SP3[[#This Row],[godziny.zajec.razem]]-Tabela_SP3_nst[[#This Row],[godziny.zajec.razem]])</f>
        <v>29</v>
      </c>
      <c r="AS122" s="189">
        <f>Tabela_SP3[[#This Row],[godziny.konsultacja]]</f>
        <v>3</v>
      </c>
      <c r="AT122" s="179">
        <f>Tabela_SP3[[#This Row],[godziny.egzamin]]</f>
        <v>2</v>
      </c>
      <c r="AU122" s="190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2" s="334">
        <f>IF(Tabela_SP3_nst[[#This Row],[ects.bezposr.nauczyciel]],Tabela_SP3_nst[[#This Row],[ects.bezposr.nauczyciel]]/Tabela_SP3_nst[[#This Row],[ects.razem]],0)</f>
        <v>0.33333333333333331</v>
      </c>
      <c r="AW122" s="207"/>
    </row>
    <row r="123" spans="1:49" ht="25.5" customHeight="1" x14ac:dyDescent="0.3">
      <c r="A123" s="207"/>
      <c r="B123" s="333" t="str">
        <f>IF(Tabela_SP3[[#This Row],[kod.isced]]&lt;&gt;"",Tabela_SP3[[#This Row],[kod.isced]],"")</f>
        <v>0413</v>
      </c>
      <c r="C123" s="193">
        <f>IF(Tabela_SP3[[#This Row],[kod.dziedziny]]&lt;&gt;"",Tabela_SP3[[#This Row],[kod.dziedziny]],"")</f>
        <v>505</v>
      </c>
      <c r="D123" s="193" t="str">
        <f>IF(Tabela_SP3[[#This Row],[Modul]]&lt;&gt;"",Tabela_SP3[[#This Row],[Modul]],"")</f>
        <v>mpe.02.1</v>
      </c>
      <c r="E123" s="193" t="str">
        <f>IF(Tabela_SP3[[#This Row],[Umiej.prakt.]]&lt;&gt;"",Tabela_SP3[[#This Row],[Umiej.prakt.]],"")</f>
        <v>up</v>
      </c>
      <c r="F123" s="308" t="str">
        <f>IF(Tabela_SP3[[#This Row],[Nazwa przedmiotu]]&lt;&gt;"",Tabela_SP3[[#This Row],[Nazwa przedmiotu]],"")</f>
        <v>System instytucjonalnu UE</v>
      </c>
      <c r="G123" s="309" t="str">
        <f>IF(Tabela_SP3[[#This Row],[Prowadzacy]]&lt;&gt;"",Tabela_SP3[[#This Row],[Prowadzacy]],"")</f>
        <v/>
      </c>
      <c r="H123" s="155" t="str">
        <f>IF(Tabela_SP3[[#This Row],[Forma]]&lt;&gt;"",Tabela_SP3[[#This Row],[Forma]],"")</f>
        <v>konwersatorium</v>
      </c>
      <c r="I123" s="156" t="str">
        <f>IF(Tabela_SP3[[#This Row],[czy.ects]]&lt;&gt;"",Tabela_SP3[[#This Row],[czy.ects]],"")</f>
        <v>TAK</v>
      </c>
      <c r="J123" s="356" t="str" cm="1">
        <f t="array" ref="J123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3" s="356" t="str" cm="1">
        <f t="array" ref="K123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3" s="356" t="str">
        <f>IF(Tabela_SP3[[#This Row],[sem1.forma]]&lt;&gt;"",Tabela_SP3[[#This Row],[sem1.forma]],"")</f>
        <v/>
      </c>
      <c r="M123" s="357" t="str" cm="1">
        <f t="array" ref="M123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3" s="357" t="str" cm="1">
        <f t="array" ref="N123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3" s="357" t="str">
        <f>IF(Tabela_SP3[[#This Row],[sem2.forma]]&lt;&gt;"",Tabela_SP3[[#This Row],[sem2.forma]],"")</f>
        <v/>
      </c>
      <c r="P123" s="358" t="str" cm="1">
        <f t="array" ref="P123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3" s="359" t="str" cm="1">
        <f t="array" ref="Q123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3" s="358" t="str">
        <f>IF(Tabela_SP3[[#This Row],[sem3.forma]]&lt;&gt;"",Tabela_SP3[[#This Row],[sem3.forma]],"")</f>
        <v/>
      </c>
      <c r="S123" s="355" cm="1">
        <f t="array" ref="S123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>18</v>
      </c>
      <c r="T123" s="355">
        <v>3</v>
      </c>
      <c r="U123" s="355" t="str">
        <f>IF(Tabela_SP3[[#This Row],[sem4.forma]]&lt;&gt;"",Tabela_SP3[[#This Row],[sem4.forma]],"")</f>
        <v>z</v>
      </c>
      <c r="V123" s="180" t="str" cm="1">
        <f t="array" ref="V123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/>
      </c>
      <c r="W123" s="180" t="str" cm="1">
        <f t="array" ref="W123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23" s="180" t="str">
        <f>IF(Tabela_SP3[[#This Row],[sem5.forma]]&lt;&gt;"",Tabela_SP3[[#This Row],[sem5.forma]],"")</f>
        <v/>
      </c>
      <c r="Y123" s="181" t="str" cm="1">
        <f t="array" ref="Y123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/>
      </c>
      <c r="Z123" s="181" t="str" cm="1">
        <f t="array" ref="Z123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23" s="181" t="str">
        <f>IF(Tabela_SP3[[#This Row],[sem6.forma]]&lt;&gt;"",Tabela_SP3[[#This Row],[sem6.forma]],"")</f>
        <v/>
      </c>
      <c r="AB123" s="182" t="str" cm="1">
        <f t="array" ref="AB123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3" s="182" t="str" cm="1">
        <f t="array" ref="AC123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3" s="182" t="str">
        <f>IF(Tabela_SP3[[#This Row],[sem7.forma]]&lt;&gt;"",Tabela_SP3[[#This Row],[sem7.forma]],"")</f>
        <v/>
      </c>
      <c r="AE123" s="183" t="str" cm="1">
        <f t="array" ref="AE123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3" s="183" t="str" cm="1">
        <f t="array" ref="AF123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3" s="183" t="str">
        <f>IF(Tabela_SP3[[#This Row],[sem8.forma]]&lt;&gt;"",Tabela_SP3[[#This Row],[sem8.forma]],"")</f>
        <v/>
      </c>
      <c r="AH123" s="184" t="str" cm="1">
        <f t="array" ref="AH123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3" s="184" t="str" cm="1">
        <f t="array" ref="AI123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3" s="184" t="str">
        <f>IF(Tabela_SP3[[#This Row],[sem9.forma]]&lt;&gt;"",Tabela_SP3[[#This Row],[sem9.forma]],"")</f>
        <v/>
      </c>
      <c r="AK123" s="185" t="str" cm="1">
        <f t="array" ref="AK123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3" s="185" t="str" cm="1">
        <f t="array" ref="AL123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3" s="185" t="str">
        <f>IF(Tabela_SP3[[#This Row],[sem10.forma]]&lt;&gt;"",Tabela_SP3[[#This Row],[sem10.forma]],"")</f>
        <v/>
      </c>
      <c r="AN123" s="186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3" s="187">
        <f>IF(ISERR(SEARCH("UP",Tabela_SP3_nst[[#This Row],[Umiej.prakt.]],1)),0,Tabela_SP3_nst[[#This Row],[ects.razem]])</f>
        <v>3</v>
      </c>
      <c r="AP123" s="188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3" s="310">
        <f>SUM(Tabela_SP3_nst[[#This Row],[godziny.samoksztalcenie]],Tabela_SP3_nst[[#This Row],[godziny.konsultacja]],Tabela_SP3_nst[[#This Row],[godziny.egzamin]],Tabela_SP3_nst[[#This Row],[godziny.zajec.razem]])</f>
        <v>52</v>
      </c>
      <c r="AR123" s="311">
        <f>Tabela_SP3[[#This Row],[godziny.samoksztalcenie]]+(Tabela_SP3[[#This Row],[godziny.zajec.razem]]-Tabela_SP3_nst[[#This Row],[godziny.zajec.razem]])</f>
        <v>29</v>
      </c>
      <c r="AS123" s="189">
        <f>Tabela_SP3[[#This Row],[godziny.konsultacja]]</f>
        <v>3</v>
      </c>
      <c r="AT123" s="179">
        <f>Tabela_SP3[[#This Row],[godziny.egzamin]]</f>
        <v>2</v>
      </c>
      <c r="AU123" s="190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3" s="334">
        <f>IF(Tabela_SP3_nst[[#This Row],[ects.bezposr.nauczyciel]],Tabela_SP3_nst[[#This Row],[ects.bezposr.nauczyciel]]/Tabela_SP3_nst[[#This Row],[ects.razem]],0)</f>
        <v>0.33333333333333331</v>
      </c>
      <c r="AW123" s="207"/>
    </row>
    <row r="124" spans="1:49" ht="25.5" customHeight="1" x14ac:dyDescent="0.3">
      <c r="A124" s="207"/>
      <c r="B124" s="448" t="str">
        <f>IF(Tabela_SP3[[#This Row],[kod.isced]]&lt;&gt;"",Tabela_SP3[[#This Row],[kod.isced]],"")</f>
        <v>0413</v>
      </c>
      <c r="C124" s="437">
        <f>IF(Tabela_SP3[[#This Row],[kod.dziedziny]]&lt;&gt;"",Tabela_SP3[[#This Row],[kod.dziedziny]],"")</f>
        <v>506</v>
      </c>
      <c r="D124" s="437" t="str">
        <f>IF(Tabela_SP3[[#This Row],[Modul]]&lt;&gt;"",Tabela_SP3[[#This Row],[Modul]],"")</f>
        <v>mpe.03.1</v>
      </c>
      <c r="E124" s="437" t="str">
        <f>IF(Tabela_SP3[[#This Row],[Umiej.prakt.]]&lt;&gt;"",Tabela_SP3[[#This Row],[Umiej.prakt.]],"")</f>
        <v>up</v>
      </c>
      <c r="F124" s="438" t="str">
        <f>IF(Tabela_SP3[[#This Row],[Nazwa przedmiotu]]&lt;&gt;"",Tabela_SP3[[#This Row],[Nazwa przedmiotu]],"")</f>
        <v>Zarządzanie projektami</v>
      </c>
      <c r="G124" s="439" t="str">
        <f>IF(Tabela_SP3[[#This Row],[Prowadzacy]]&lt;&gt;"",Tabela_SP3[[#This Row],[Prowadzacy]],"")</f>
        <v/>
      </c>
      <c r="H124" s="440" t="str">
        <f>IF(Tabela_SP3[[#This Row],[Forma]]&lt;&gt;"",Tabela_SP3[[#This Row],[Forma]],"")</f>
        <v>konwersatorium</v>
      </c>
      <c r="I124" s="441" t="str">
        <f>IF(Tabela_SP3[[#This Row],[czy.ects]]&lt;&gt;"",Tabela_SP3[[#This Row],[czy.ects]],"")</f>
        <v>TAK</v>
      </c>
      <c r="J124" s="356" t="str" cm="1">
        <f t="array" ref="J124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4" s="356" t="str" cm="1">
        <f t="array" ref="K124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4" s="356" t="str">
        <f>IF(Tabela_SP3[[#This Row],[sem1.forma]]&lt;&gt;"",Tabela_SP3[[#This Row],[sem1.forma]],"")</f>
        <v/>
      </c>
      <c r="M124" s="357" t="str" cm="1">
        <f t="array" ref="M124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4" s="357" t="str" cm="1">
        <f t="array" ref="N124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4" s="357" t="str">
        <f>IF(Tabela_SP3[[#This Row],[sem2.forma]]&lt;&gt;"",Tabela_SP3[[#This Row],[sem2.forma]],"")</f>
        <v/>
      </c>
      <c r="P124" s="358" t="str" cm="1">
        <f t="array" ref="P124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4" s="359" t="str" cm="1">
        <f t="array" ref="Q124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4" s="358" t="str">
        <f>IF(Tabela_SP3[[#This Row],[sem3.forma]]&lt;&gt;"",Tabela_SP3[[#This Row],[sem3.forma]],"")</f>
        <v/>
      </c>
      <c r="S124" s="355" t="str" cm="1">
        <f t="array" ref="S124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24" s="355" t="str" cm="1">
        <f t="array" ref="T124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24" s="355" t="str">
        <f>IF(Tabela_SP3[[#This Row],[sem4.forma]]&lt;&gt;"",Tabela_SP3[[#This Row],[sem4.forma]],"")</f>
        <v/>
      </c>
      <c r="V124" s="180" cm="1">
        <f t="array" ref="V124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18</v>
      </c>
      <c r="W124" s="180">
        <v>3</v>
      </c>
      <c r="X124" s="180" t="str">
        <f>IF(Tabela_SP3[[#This Row],[sem5.forma]]&lt;&gt;"",Tabela_SP3[[#This Row],[sem5.forma]],"")</f>
        <v>z</v>
      </c>
      <c r="Y124" s="181" t="str" cm="1">
        <f t="array" ref="Y124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/>
      </c>
      <c r="Z124" s="181" t="str" cm="1">
        <f t="array" ref="Z124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24" s="181" t="str">
        <f>IF(Tabela_SP3[[#This Row],[sem6.forma]]&lt;&gt;"",Tabela_SP3[[#This Row],[sem6.forma]],"")</f>
        <v/>
      </c>
      <c r="AB124" s="182" t="str" cm="1">
        <f t="array" ref="AB124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4" s="182" t="str" cm="1">
        <f t="array" ref="AC124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4" s="182" t="str">
        <f>IF(Tabela_SP3[[#This Row],[sem7.forma]]&lt;&gt;"",Tabela_SP3[[#This Row],[sem7.forma]],"")</f>
        <v/>
      </c>
      <c r="AE124" s="183" t="str" cm="1">
        <f t="array" ref="AE124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4" s="183" t="str" cm="1">
        <f t="array" ref="AF124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4" s="183" t="str">
        <f>IF(Tabela_SP3[[#This Row],[sem8.forma]]&lt;&gt;"",Tabela_SP3[[#This Row],[sem8.forma]],"")</f>
        <v/>
      </c>
      <c r="AH124" s="184" t="str" cm="1">
        <f t="array" ref="AH124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4" s="184" t="str" cm="1">
        <f t="array" ref="AI124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4" s="184" t="str">
        <f>IF(Tabela_SP3[[#This Row],[sem9.forma]]&lt;&gt;"",Tabela_SP3[[#This Row],[sem9.forma]],"")</f>
        <v/>
      </c>
      <c r="AK124" s="185" t="str" cm="1">
        <f t="array" ref="AK124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4" s="185" t="str" cm="1">
        <f t="array" ref="AL124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4" s="185" t="str">
        <f>IF(Tabela_SP3[[#This Row],[sem10.forma]]&lt;&gt;"",Tabela_SP3[[#This Row],[sem10.forma]],"")</f>
        <v/>
      </c>
      <c r="AN124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4" s="449">
        <f>IF(ISERR(SEARCH("UP",Tabela_SP3_nst[[#This Row],[Umiej.prakt.]],1)),0,Tabela_SP3_nst[[#This Row],[ects.razem]])</f>
        <v>3</v>
      </c>
      <c r="AP124" s="450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4" s="451">
        <f>SUM(Tabela_SP3_nst[[#This Row],[godziny.samoksztalcenie]],Tabela_SP3_nst[[#This Row],[godziny.konsultacja]],Tabela_SP3_nst[[#This Row],[godziny.egzamin]],Tabela_SP3_nst[[#This Row],[godziny.zajec.razem]])</f>
        <v>52</v>
      </c>
      <c r="AR124" s="452">
        <f>Tabela_SP3[[#This Row],[godziny.samoksztalcenie]]+(Tabela_SP3[[#This Row],[godziny.zajec.razem]]-Tabela_SP3_nst[[#This Row],[godziny.zajec.razem]])</f>
        <v>29</v>
      </c>
      <c r="AS124" s="453">
        <f>Tabela_SP3[[#This Row],[godziny.konsultacja]]</f>
        <v>3</v>
      </c>
      <c r="AT124" s="369">
        <f>Tabela_SP3[[#This Row],[godziny.egzamin]]</f>
        <v>2</v>
      </c>
      <c r="AU124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4" s="455">
        <f>IF(Tabela_SP3_nst[[#This Row],[ects.bezposr.nauczyciel]],Tabela_SP3_nst[[#This Row],[ects.bezposr.nauczyciel]]/Tabela_SP3_nst[[#This Row],[ects.razem]],0)</f>
        <v>0.33333333333333331</v>
      </c>
      <c r="AW124" s="207"/>
    </row>
    <row r="125" spans="1:49" ht="25.5" customHeight="1" x14ac:dyDescent="0.3">
      <c r="A125" s="207"/>
      <c r="B125" s="448" t="str">
        <f>IF(Tabela_SP3[[#This Row],[kod.isced]]&lt;&gt;"",Tabela_SP3[[#This Row],[kod.isced]],"")</f>
        <v>0412</v>
      </c>
      <c r="C125" s="437">
        <f>IF(Tabela_SP3[[#This Row],[kod.dziedziny]]&lt;&gt;"",Tabela_SP3[[#This Row],[kod.dziedziny]],"")</f>
        <v>501</v>
      </c>
      <c r="D125" s="437" t="str">
        <f>IF(Tabela_SP3[[#This Row],[Modul]]&lt;&gt;"",Tabela_SP3[[#This Row],[Modul]],"")</f>
        <v>mpe.04.1</v>
      </c>
      <c r="E125" s="437" t="str">
        <f>IF(Tabela_SP3[[#This Row],[Umiej.prakt.]]&lt;&gt;"",Tabela_SP3[[#This Row],[Umiej.prakt.]],"")</f>
        <v>up</v>
      </c>
      <c r="F125" s="438" t="str">
        <f>IF(Tabela_SP3[[#This Row],[Nazwa przedmiotu]]&lt;&gt;"",Tabela_SP3[[#This Row],[Nazwa przedmiotu]],"")</f>
        <v>Rekrutacja i promocja projektów</v>
      </c>
      <c r="G125" s="439" t="str">
        <f>IF(Tabela_SP3[[#This Row],[Prowadzacy]]&lt;&gt;"",Tabela_SP3[[#This Row],[Prowadzacy]],"")</f>
        <v/>
      </c>
      <c r="H125" s="440" t="str">
        <f>IF(Tabela_SP3[[#This Row],[Forma]]&lt;&gt;"",Tabela_SP3[[#This Row],[Forma]],"")</f>
        <v>konwersatorium</v>
      </c>
      <c r="I125" s="441" t="str">
        <f>IF(Tabela_SP3[[#This Row],[czy.ects]]&lt;&gt;"",Tabela_SP3[[#This Row],[czy.ects]],"")</f>
        <v>TAK</v>
      </c>
      <c r="J125" s="356" t="str" cm="1">
        <f t="array" ref="J125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5" s="356" t="str" cm="1">
        <f t="array" ref="K125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5" s="356" t="str">
        <f>IF(Tabela_SP3[[#This Row],[sem1.forma]]&lt;&gt;"",Tabela_SP3[[#This Row],[sem1.forma]],"")</f>
        <v/>
      </c>
      <c r="M125" s="357" t="str" cm="1">
        <f t="array" ref="M125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5" s="357" t="str" cm="1">
        <f t="array" ref="N125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5" s="357" t="str">
        <f>IF(Tabela_SP3[[#This Row],[sem2.forma]]&lt;&gt;"",Tabela_SP3[[#This Row],[sem2.forma]],"")</f>
        <v/>
      </c>
      <c r="P125" s="358" t="str" cm="1">
        <f t="array" ref="P125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5" s="359" t="str" cm="1">
        <f t="array" ref="Q125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5" s="358" t="str">
        <f>IF(Tabela_SP3[[#This Row],[sem3.forma]]&lt;&gt;"",Tabela_SP3[[#This Row],[sem3.forma]],"")</f>
        <v/>
      </c>
      <c r="S125" s="355" t="str" cm="1">
        <f t="array" ref="S125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25" s="355" t="str" cm="1">
        <f t="array" ref="T125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25" s="355" t="str">
        <f>IF(Tabela_SP3[[#This Row],[sem4.forma]]&lt;&gt;"",Tabela_SP3[[#This Row],[sem4.forma]],"")</f>
        <v/>
      </c>
      <c r="V125" s="180" cm="1">
        <f t="array" ref="V125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9</v>
      </c>
      <c r="W125" s="180" cm="1">
        <f t="array" ref="W125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>1</v>
      </c>
      <c r="X125" s="180" t="str">
        <f>IF(Tabela_SP3[[#This Row],[sem5.forma]]&lt;&gt;"",Tabela_SP3[[#This Row],[sem5.forma]],"")</f>
        <v>z</v>
      </c>
      <c r="Y125" s="181" t="str" cm="1">
        <f t="array" ref="Y125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/>
      </c>
      <c r="Z125" s="181" t="str" cm="1">
        <f t="array" ref="Z125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25" s="181" t="str">
        <f>IF(Tabela_SP3[[#This Row],[sem6.forma]]&lt;&gt;"",Tabela_SP3[[#This Row],[sem6.forma]],"")</f>
        <v/>
      </c>
      <c r="AB125" s="182" t="str" cm="1">
        <f t="array" ref="AB125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5" s="182" t="str" cm="1">
        <f t="array" ref="AC125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5" s="182" t="str">
        <f>IF(Tabela_SP3[[#This Row],[sem7.forma]]&lt;&gt;"",Tabela_SP3[[#This Row],[sem7.forma]],"")</f>
        <v/>
      </c>
      <c r="AE125" s="183" t="str" cm="1">
        <f t="array" ref="AE125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5" s="183" t="str" cm="1">
        <f t="array" ref="AF125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5" s="183" t="str">
        <f>IF(Tabela_SP3[[#This Row],[sem8.forma]]&lt;&gt;"",Tabela_SP3[[#This Row],[sem8.forma]],"")</f>
        <v/>
      </c>
      <c r="AH125" s="184" t="str" cm="1">
        <f t="array" ref="AH125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5" s="184" t="str" cm="1">
        <f t="array" ref="AI125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5" s="184" t="str">
        <f>IF(Tabela_SP3[[#This Row],[sem9.forma]]&lt;&gt;"",Tabela_SP3[[#This Row],[sem9.forma]],"")</f>
        <v/>
      </c>
      <c r="AK125" s="185" t="str" cm="1">
        <f t="array" ref="AK125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5" s="185" t="str" cm="1">
        <f t="array" ref="AL125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5" s="185" t="str">
        <f>IF(Tabela_SP3[[#This Row],[sem10.forma]]&lt;&gt;"",Tabela_SP3[[#This Row],[sem10.forma]],"")</f>
        <v/>
      </c>
      <c r="AN125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1</v>
      </c>
      <c r="AO125" s="449">
        <f>IF(ISERR(SEARCH("UP",Tabela_SP3_nst[[#This Row],[Umiej.prakt.]],1)),0,Tabela_SP3_nst[[#This Row],[ects.razem]])</f>
        <v>1</v>
      </c>
      <c r="AP125" s="450">
        <f>IF(Tabela_SP3_nst[[#This Row],[czy.ects]]="TAK",ROUND((SUM(Tabela_SP3_nst[[#This Row],[godziny.konsultacja]],Tabela_SP3_nst[[#This Row],[godziny.egzamin]],Tabela_SP3_nst[[#This Row],[godziny.zajec.razem]])/25)/0.5,0)*0.5,0)</f>
        <v>0.5</v>
      </c>
      <c r="AQ125" s="451">
        <f>SUM(Tabela_SP3_nst[[#This Row],[godziny.samoksztalcenie]],Tabela_SP3_nst[[#This Row],[godziny.konsultacja]],Tabela_SP3_nst[[#This Row],[godziny.egzamin]],Tabela_SP3_nst[[#This Row],[godziny.zajec.razem]])</f>
        <v>27</v>
      </c>
      <c r="AR125" s="452">
        <f>Tabela_SP3[[#This Row],[godziny.samoksztalcenie]]+(Tabela_SP3[[#This Row],[godziny.zajec.razem]]-Tabela_SP3_nst[[#This Row],[godziny.zajec.razem]])</f>
        <v>15</v>
      </c>
      <c r="AS125" s="453">
        <f>Tabela_SP3[[#This Row],[godziny.konsultacja]]</f>
        <v>1</v>
      </c>
      <c r="AT125" s="369">
        <f>Tabela_SP3[[#This Row],[godziny.egzamin]]</f>
        <v>2</v>
      </c>
      <c r="AU125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9</v>
      </c>
      <c r="AV125" s="455">
        <f>IF(Tabela_SP3_nst[[#This Row],[ects.bezposr.nauczyciel]],Tabela_SP3_nst[[#This Row],[ects.bezposr.nauczyciel]]/Tabela_SP3_nst[[#This Row],[ects.razem]],0)</f>
        <v>0.5</v>
      </c>
      <c r="AW125" s="207"/>
    </row>
    <row r="126" spans="1:49" ht="25.5" customHeight="1" x14ac:dyDescent="0.3">
      <c r="A126" s="207"/>
      <c r="B126" s="448" t="str">
        <f>IF(Tabela_SP3[[#This Row],[kod.isced]]&lt;&gt;"",Tabela_SP3[[#This Row],[kod.isced]],"")</f>
        <v>0412</v>
      </c>
      <c r="C126" s="437">
        <f>IF(Tabela_SP3[[#This Row],[kod.dziedziny]]&lt;&gt;"",Tabela_SP3[[#This Row],[kod.dziedziny]],"")</f>
        <v>501</v>
      </c>
      <c r="D126" s="437" t="str">
        <f>IF(Tabela_SP3[[#This Row],[Modul]]&lt;&gt;"",Tabela_SP3[[#This Row],[Modul]],"")</f>
        <v>mpe.05.1</v>
      </c>
      <c r="E126" s="437" t="str">
        <f>IF(Tabela_SP3[[#This Row],[Umiej.prakt.]]&lt;&gt;"",Tabela_SP3[[#This Row],[Umiej.prakt.]],"")</f>
        <v>up</v>
      </c>
      <c r="F126" s="438" t="str">
        <f>IF(Tabela_SP3[[#This Row],[Nazwa przedmiotu]]&lt;&gt;"",Tabela_SP3[[#This Row],[Nazwa przedmiotu]],"")</f>
        <v>Aplikowanie o środki europejskie</v>
      </c>
      <c r="G126" s="439" t="str">
        <f>IF(Tabela_SP3[[#This Row],[Prowadzacy]]&lt;&gt;"",Tabela_SP3[[#This Row],[Prowadzacy]],"")</f>
        <v/>
      </c>
      <c r="H126" s="440" t="str">
        <f>IF(Tabela_SP3[[#This Row],[Forma]]&lt;&gt;"",Tabela_SP3[[#This Row],[Forma]],"")</f>
        <v>konwersatorium</v>
      </c>
      <c r="I126" s="441" t="str">
        <f>IF(Tabela_SP3[[#This Row],[czy.ects]]&lt;&gt;"",Tabela_SP3[[#This Row],[czy.ects]],"")</f>
        <v>TAK</v>
      </c>
      <c r="J126" s="356" t="str" cm="1">
        <f t="array" ref="J126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6" s="356" t="str" cm="1">
        <f t="array" ref="K126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6" s="356" t="str">
        <f>IF(Tabela_SP3[[#This Row],[sem1.forma]]&lt;&gt;"",Tabela_SP3[[#This Row],[sem1.forma]],"")</f>
        <v/>
      </c>
      <c r="M126" s="357" t="str" cm="1">
        <f t="array" ref="M126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6" s="357" t="str" cm="1">
        <f t="array" ref="N126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6" s="357" t="str">
        <f>IF(Tabela_SP3[[#This Row],[sem2.forma]]&lt;&gt;"",Tabela_SP3[[#This Row],[sem2.forma]],"")</f>
        <v/>
      </c>
      <c r="P126" s="358" t="str" cm="1">
        <f t="array" ref="P126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6" s="359" t="str" cm="1">
        <f t="array" ref="Q126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6" s="358" t="str">
        <f>IF(Tabela_SP3[[#This Row],[sem3.forma]]&lt;&gt;"",Tabela_SP3[[#This Row],[sem3.forma]],"")</f>
        <v/>
      </c>
      <c r="S126" s="355" t="str" cm="1">
        <f t="array" ref="S126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26" s="355" t="str" cm="1">
        <f t="array" ref="T126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26" s="355" t="str">
        <f>IF(Tabela_SP3[[#This Row],[sem4.forma]]&lt;&gt;"",Tabela_SP3[[#This Row],[sem4.forma]],"")</f>
        <v/>
      </c>
      <c r="V126" s="180" cm="1">
        <f t="array" ref="V126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18</v>
      </c>
      <c r="W126" s="180">
        <v>3</v>
      </c>
      <c r="X126" s="180" t="str">
        <f>IF(Tabela_SP3[[#This Row],[sem5.forma]]&lt;&gt;"",Tabela_SP3[[#This Row],[sem5.forma]],"")</f>
        <v>z</v>
      </c>
      <c r="Y126" s="181" t="str" cm="1">
        <f t="array" ref="Y126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/>
      </c>
      <c r="Z126" s="181" t="str" cm="1">
        <f t="array" ref="Z126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26" s="181" t="str">
        <f>IF(Tabela_SP3[[#This Row],[sem6.forma]]&lt;&gt;"",Tabela_SP3[[#This Row],[sem6.forma]],"")</f>
        <v/>
      </c>
      <c r="AB126" s="182" t="str" cm="1">
        <f t="array" ref="AB126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6" s="182" t="str" cm="1">
        <f t="array" ref="AC126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6" s="182" t="str">
        <f>IF(Tabela_SP3[[#This Row],[sem7.forma]]&lt;&gt;"",Tabela_SP3[[#This Row],[sem7.forma]],"")</f>
        <v/>
      </c>
      <c r="AE126" s="183" t="str" cm="1">
        <f t="array" ref="AE126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6" s="183" t="str" cm="1">
        <f t="array" ref="AF126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6" s="183" t="str">
        <f>IF(Tabela_SP3[[#This Row],[sem8.forma]]&lt;&gt;"",Tabela_SP3[[#This Row],[sem8.forma]],"")</f>
        <v/>
      </c>
      <c r="AH126" s="184" t="str" cm="1">
        <f t="array" ref="AH126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6" s="184" t="str" cm="1">
        <f t="array" ref="AI126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6" s="184" t="str">
        <f>IF(Tabela_SP3[[#This Row],[sem9.forma]]&lt;&gt;"",Tabela_SP3[[#This Row],[sem9.forma]],"")</f>
        <v/>
      </c>
      <c r="AK126" s="185" t="str" cm="1">
        <f t="array" ref="AK126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6" s="185" t="str" cm="1">
        <f t="array" ref="AL126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6" s="185" t="str">
        <f>IF(Tabela_SP3[[#This Row],[sem10.forma]]&lt;&gt;"",Tabela_SP3[[#This Row],[sem10.forma]],"")</f>
        <v/>
      </c>
      <c r="AN126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6" s="449">
        <f>IF(ISERR(SEARCH("UP",Tabela_SP3_nst[[#This Row],[Umiej.prakt.]],1)),0,Tabela_SP3_nst[[#This Row],[ects.razem]])</f>
        <v>3</v>
      </c>
      <c r="AP126" s="450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6" s="451">
        <f>SUM(Tabela_SP3_nst[[#This Row],[godziny.samoksztalcenie]],Tabela_SP3_nst[[#This Row],[godziny.konsultacja]],Tabela_SP3_nst[[#This Row],[godziny.egzamin]],Tabela_SP3_nst[[#This Row],[godziny.zajec.razem]])</f>
        <v>52</v>
      </c>
      <c r="AR126" s="452">
        <f>Tabela_SP3[[#This Row],[godziny.samoksztalcenie]]+(Tabela_SP3[[#This Row],[godziny.zajec.razem]]-Tabela_SP3_nst[[#This Row],[godziny.zajec.razem]])</f>
        <v>29</v>
      </c>
      <c r="AS126" s="453">
        <f>Tabela_SP3[[#This Row],[godziny.konsultacja]]</f>
        <v>3</v>
      </c>
      <c r="AT126" s="369">
        <f>Tabela_SP3[[#This Row],[godziny.egzamin]]</f>
        <v>2</v>
      </c>
      <c r="AU126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6" s="455">
        <f>IF(Tabela_SP3_nst[[#This Row],[ects.bezposr.nauczyciel]],Tabela_SP3_nst[[#This Row],[ects.bezposr.nauczyciel]]/Tabela_SP3_nst[[#This Row],[ects.razem]],0)</f>
        <v>0.33333333333333331</v>
      </c>
      <c r="AW126" s="207"/>
    </row>
    <row r="127" spans="1:49" ht="25.5" customHeight="1" x14ac:dyDescent="0.3">
      <c r="A127" s="207"/>
      <c r="B127" s="448" t="str">
        <f>IF(Tabela_SP3[[#This Row],[kod.isced]]&lt;&gt;"",Tabela_SP3[[#This Row],[kod.isced]],"")</f>
        <v>0412</v>
      </c>
      <c r="C127" s="437">
        <f>IF(Tabela_SP3[[#This Row],[kod.dziedziny]]&lt;&gt;"",Tabela_SP3[[#This Row],[kod.dziedziny]],"")</f>
        <v>501</v>
      </c>
      <c r="D127" s="437" t="str">
        <f>IF(Tabela_SP3[[#This Row],[Modul]]&lt;&gt;"",Tabela_SP3[[#This Row],[Modul]],"")</f>
        <v>mpe.05.2</v>
      </c>
      <c r="E127" s="437" t="str">
        <f>IF(Tabela_SP3[[#This Row],[Umiej.prakt.]]&lt;&gt;"",Tabela_SP3[[#This Row],[Umiej.prakt.]],"")</f>
        <v>up</v>
      </c>
      <c r="F127" s="438" t="str">
        <f>IF(Tabela_SP3[[#This Row],[Nazwa przedmiotu]]&lt;&gt;"",Tabela_SP3[[#This Row],[Nazwa przedmiotu]],"")</f>
        <v>Aplikowanie o środki europejskie</v>
      </c>
      <c r="G127" s="439" t="str">
        <f>IF(Tabela_SP3[[#This Row],[Prowadzacy]]&lt;&gt;"",Tabela_SP3[[#This Row],[Prowadzacy]],"")</f>
        <v/>
      </c>
      <c r="H127" s="440" t="str">
        <f>IF(Tabela_SP3[[#This Row],[Forma]]&lt;&gt;"",Tabela_SP3[[#This Row],[Forma]],"")</f>
        <v>ćwiczenia</v>
      </c>
      <c r="I127" s="441" t="str">
        <f>IF(Tabela_SP3[[#This Row],[czy.ects]]&lt;&gt;"",Tabela_SP3[[#This Row],[czy.ects]],"")</f>
        <v>TAK</v>
      </c>
      <c r="J127" s="356" t="str" cm="1">
        <f t="array" ref="J127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7" s="356" t="str" cm="1">
        <f t="array" ref="K127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7" s="356" t="str">
        <f>IF(Tabela_SP3[[#This Row],[sem1.forma]]&lt;&gt;"",Tabela_SP3[[#This Row],[sem1.forma]],"")</f>
        <v/>
      </c>
      <c r="M127" s="357" t="str" cm="1">
        <f t="array" ref="M127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7" s="357" t="str" cm="1">
        <f t="array" ref="N127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7" s="357" t="str">
        <f>IF(Tabela_SP3[[#This Row],[sem2.forma]]&lt;&gt;"",Tabela_SP3[[#This Row],[sem2.forma]],"")</f>
        <v/>
      </c>
      <c r="P127" s="358" t="str" cm="1">
        <f t="array" ref="P127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7" s="359" t="str" cm="1">
        <f t="array" ref="Q127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7" s="358" t="str">
        <f>IF(Tabela_SP3[[#This Row],[sem3.forma]]&lt;&gt;"",Tabela_SP3[[#This Row],[sem3.forma]],"")</f>
        <v/>
      </c>
      <c r="S127" s="355" t="str" cm="1">
        <f t="array" ref="S127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27" s="355" t="str" cm="1">
        <f t="array" ref="T127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27" s="355" t="str">
        <f>IF(Tabela_SP3[[#This Row],[sem4.forma]]&lt;&gt;"",Tabela_SP3[[#This Row],[sem4.forma]],"")</f>
        <v/>
      </c>
      <c r="V127" s="180" cm="1">
        <f t="array" ref="V127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18</v>
      </c>
      <c r="W127" s="180">
        <v>3</v>
      </c>
      <c r="X127" s="180" t="str">
        <f>IF(Tabela_SP3[[#This Row],[sem5.forma]]&lt;&gt;"",Tabela_SP3[[#This Row],[sem5.forma]],"")</f>
        <v>z</v>
      </c>
      <c r="Y127" s="181" t="str" cm="1">
        <f t="array" ref="Y127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/>
      </c>
      <c r="Z127" s="181" t="str" cm="1">
        <f t="array" ref="Z127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27" s="181" t="str">
        <f>IF(Tabela_SP3[[#This Row],[sem6.forma]]&lt;&gt;"",Tabela_SP3[[#This Row],[sem6.forma]],"")</f>
        <v/>
      </c>
      <c r="AB127" s="182" t="str" cm="1">
        <f t="array" ref="AB127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7" s="182" t="str" cm="1">
        <f t="array" ref="AC127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7" s="182" t="str">
        <f>IF(Tabela_SP3[[#This Row],[sem7.forma]]&lt;&gt;"",Tabela_SP3[[#This Row],[sem7.forma]],"")</f>
        <v/>
      </c>
      <c r="AE127" s="183" t="str" cm="1">
        <f t="array" ref="AE127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7" s="183" t="str" cm="1">
        <f t="array" ref="AF127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7" s="183" t="str">
        <f>IF(Tabela_SP3[[#This Row],[sem8.forma]]&lt;&gt;"",Tabela_SP3[[#This Row],[sem8.forma]],"")</f>
        <v/>
      </c>
      <c r="AH127" s="184" t="str" cm="1">
        <f t="array" ref="AH127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7" s="184" t="str" cm="1">
        <f t="array" ref="AI127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7" s="184" t="str">
        <f>IF(Tabela_SP3[[#This Row],[sem9.forma]]&lt;&gt;"",Tabela_SP3[[#This Row],[sem9.forma]],"")</f>
        <v/>
      </c>
      <c r="AK127" s="185" t="str" cm="1">
        <f t="array" ref="AK127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7" s="185" t="str" cm="1">
        <f t="array" ref="AL127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7" s="185" t="str">
        <f>IF(Tabela_SP3[[#This Row],[sem10.forma]]&lt;&gt;"",Tabela_SP3[[#This Row],[sem10.forma]],"")</f>
        <v/>
      </c>
      <c r="AN127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7" s="449">
        <f>IF(ISERR(SEARCH("UP",Tabela_SP3_nst[[#This Row],[Umiej.prakt.]],1)),0,Tabela_SP3_nst[[#This Row],[ects.razem]])</f>
        <v>3</v>
      </c>
      <c r="AP127" s="450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7" s="451">
        <f>SUM(Tabela_SP3_nst[[#This Row],[godziny.samoksztalcenie]],Tabela_SP3_nst[[#This Row],[godziny.konsultacja]],Tabela_SP3_nst[[#This Row],[godziny.egzamin]],Tabela_SP3_nst[[#This Row],[godziny.zajec.razem]])</f>
        <v>52</v>
      </c>
      <c r="AR127" s="452">
        <f>Tabela_SP3[[#This Row],[godziny.samoksztalcenie]]+(Tabela_SP3[[#This Row],[godziny.zajec.razem]]-Tabela_SP3_nst[[#This Row],[godziny.zajec.razem]])</f>
        <v>29</v>
      </c>
      <c r="AS127" s="453">
        <f>Tabela_SP3[[#This Row],[godziny.konsultacja]]</f>
        <v>3</v>
      </c>
      <c r="AT127" s="369">
        <f>Tabela_SP3[[#This Row],[godziny.egzamin]]</f>
        <v>2</v>
      </c>
      <c r="AU127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7" s="455">
        <f>IF(Tabela_SP3_nst[[#This Row],[ects.bezposr.nauczyciel]],Tabela_SP3_nst[[#This Row],[ects.bezposr.nauczyciel]]/Tabela_SP3_nst[[#This Row],[ects.razem]],0)</f>
        <v>0.33333333333333331</v>
      </c>
      <c r="AW127" s="207"/>
    </row>
    <row r="128" spans="1:49" ht="25.5" customHeight="1" x14ac:dyDescent="0.3">
      <c r="A128" s="207"/>
      <c r="B128" s="448" t="str">
        <f>IF(Tabela_SP3[[#This Row],[kod.isced]]&lt;&gt;"",Tabela_SP3[[#This Row],[kod.isced]],"")</f>
        <v>0412</v>
      </c>
      <c r="C128" s="437">
        <f>IF(Tabela_SP3[[#This Row],[kod.dziedziny]]&lt;&gt;"",Tabela_SP3[[#This Row],[kod.dziedziny]],"")</f>
        <v>501</v>
      </c>
      <c r="D128" s="437" t="str">
        <f>IF(Tabela_SP3[[#This Row],[Modul]]&lt;&gt;"",Tabela_SP3[[#This Row],[Modul]],"")</f>
        <v>mpe.06.1</v>
      </c>
      <c r="E128" s="437" t="str">
        <f>IF(Tabela_SP3[[#This Row],[Umiej.prakt.]]&lt;&gt;"",Tabela_SP3[[#This Row],[Umiej.prakt.]],"")</f>
        <v>up</v>
      </c>
      <c r="F128" s="438" t="str">
        <f>IF(Tabela_SP3[[#This Row],[Nazwa przedmiotu]]&lt;&gt;"",Tabela_SP3[[#This Row],[Nazwa przedmiotu]],"")</f>
        <v>Realizacja projektów</v>
      </c>
      <c r="G128" s="439" t="str">
        <f>IF(Tabela_SP3[[#This Row],[Prowadzacy]]&lt;&gt;"",Tabela_SP3[[#This Row],[Prowadzacy]],"")</f>
        <v/>
      </c>
      <c r="H128" s="440" t="str">
        <f>IF(Tabela_SP3[[#This Row],[Forma]]&lt;&gt;"",Tabela_SP3[[#This Row],[Forma]],"")</f>
        <v>konwersatorium</v>
      </c>
      <c r="I128" s="441" t="str">
        <f>IF(Tabela_SP3[[#This Row],[czy.ects]]&lt;&gt;"",Tabela_SP3[[#This Row],[czy.ects]],"")</f>
        <v>TAK</v>
      </c>
      <c r="J128" s="356" t="str" cm="1">
        <f t="array" ref="J128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8" s="356" t="str" cm="1">
        <f t="array" ref="K128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8" s="356" t="str">
        <f>IF(Tabela_SP3[[#This Row],[sem1.forma]]&lt;&gt;"",Tabela_SP3[[#This Row],[sem1.forma]],"")</f>
        <v/>
      </c>
      <c r="M128" s="357" t="str" cm="1">
        <f t="array" ref="M128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8" s="357" t="str" cm="1">
        <f t="array" ref="N128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8" s="357" t="str">
        <f>IF(Tabela_SP3[[#This Row],[sem2.forma]]&lt;&gt;"",Tabela_SP3[[#This Row],[sem2.forma]],"")</f>
        <v/>
      </c>
      <c r="P128" s="358" t="str" cm="1">
        <f t="array" ref="P128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8" s="359" t="str" cm="1">
        <f t="array" ref="Q128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8" s="358" t="str">
        <f>IF(Tabela_SP3[[#This Row],[sem3.forma]]&lt;&gt;"",Tabela_SP3[[#This Row],[sem3.forma]],"")</f>
        <v/>
      </c>
      <c r="S128" s="355" t="str" cm="1">
        <f t="array" ref="S128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28" s="355" t="str" cm="1">
        <f t="array" ref="T128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28" s="355" t="str">
        <f>IF(Tabela_SP3[[#This Row],[sem4.forma]]&lt;&gt;"",Tabela_SP3[[#This Row],[sem4.forma]],"")</f>
        <v/>
      </c>
      <c r="V128" s="180" t="str" cm="1">
        <f t="array" ref="V128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/>
      </c>
      <c r="W128" s="180" t="str" cm="1">
        <f t="array" ref="W128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28" s="180" t="str">
        <f>IF(Tabela_SP3[[#This Row],[sem5.forma]]&lt;&gt;"",Tabela_SP3[[#This Row],[sem5.forma]],"")</f>
        <v/>
      </c>
      <c r="Y128" s="181" cm="1">
        <f t="array" ref="Y128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18</v>
      </c>
      <c r="Z128" s="181">
        <v>3</v>
      </c>
      <c r="AA128" s="181" t="str">
        <f>IF(Tabela_SP3[[#This Row],[sem6.forma]]&lt;&gt;"",Tabela_SP3[[#This Row],[sem6.forma]],"")</f>
        <v>z</v>
      </c>
      <c r="AB128" s="182" t="str" cm="1">
        <f t="array" ref="AB128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8" s="182" t="str" cm="1">
        <f t="array" ref="AC128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8" s="182" t="str">
        <f>IF(Tabela_SP3[[#This Row],[sem7.forma]]&lt;&gt;"",Tabela_SP3[[#This Row],[sem7.forma]],"")</f>
        <v/>
      </c>
      <c r="AE128" s="183" t="str" cm="1">
        <f t="array" ref="AE128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8" s="183" t="str" cm="1">
        <f t="array" ref="AF128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8" s="183" t="str">
        <f>IF(Tabela_SP3[[#This Row],[sem8.forma]]&lt;&gt;"",Tabela_SP3[[#This Row],[sem8.forma]],"")</f>
        <v/>
      </c>
      <c r="AH128" s="184" t="str" cm="1">
        <f t="array" ref="AH128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8" s="184" t="str" cm="1">
        <f t="array" ref="AI128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8" s="184" t="str">
        <f>IF(Tabela_SP3[[#This Row],[sem9.forma]]&lt;&gt;"",Tabela_SP3[[#This Row],[sem9.forma]],"")</f>
        <v/>
      </c>
      <c r="AK128" s="185" t="str" cm="1">
        <f t="array" ref="AK128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8" s="185" t="str" cm="1">
        <f t="array" ref="AL128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8" s="185" t="str">
        <f>IF(Tabela_SP3[[#This Row],[sem10.forma]]&lt;&gt;"",Tabela_SP3[[#This Row],[sem10.forma]],"")</f>
        <v/>
      </c>
      <c r="AN128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8" s="449">
        <f>IF(ISERR(SEARCH("UP",Tabela_SP3_nst[[#This Row],[Umiej.prakt.]],1)),0,Tabela_SP3_nst[[#This Row],[ects.razem]])</f>
        <v>3</v>
      </c>
      <c r="AP128" s="450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8" s="451">
        <f>SUM(Tabela_SP3_nst[[#This Row],[godziny.samoksztalcenie]],Tabela_SP3_nst[[#This Row],[godziny.konsultacja]],Tabela_SP3_nst[[#This Row],[godziny.egzamin]],Tabela_SP3_nst[[#This Row],[godziny.zajec.razem]])</f>
        <v>52</v>
      </c>
      <c r="AR128" s="452">
        <f>Tabela_SP3[[#This Row],[godziny.samoksztalcenie]]+(Tabela_SP3[[#This Row],[godziny.zajec.razem]]-Tabela_SP3_nst[[#This Row],[godziny.zajec.razem]])</f>
        <v>29</v>
      </c>
      <c r="AS128" s="453">
        <f>Tabela_SP3[[#This Row],[godziny.konsultacja]]</f>
        <v>3</v>
      </c>
      <c r="AT128" s="369">
        <f>Tabela_SP3[[#This Row],[godziny.egzamin]]</f>
        <v>2</v>
      </c>
      <c r="AU128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8" s="455">
        <f>IF(Tabela_SP3_nst[[#This Row],[ects.bezposr.nauczyciel]],Tabela_SP3_nst[[#This Row],[ects.bezposr.nauczyciel]]/Tabela_SP3_nst[[#This Row],[ects.razem]],0)</f>
        <v>0.33333333333333331</v>
      </c>
      <c r="AW128" s="207"/>
    </row>
    <row r="129" spans="1:49" ht="25.5" customHeight="1" x14ac:dyDescent="0.3">
      <c r="A129" s="207"/>
      <c r="B129" s="448" t="str">
        <f>IF(Tabela_SP3[[#This Row],[kod.isced]]&lt;&gt;"",Tabela_SP3[[#This Row],[kod.isced]],"")</f>
        <v>0412</v>
      </c>
      <c r="C129" s="437">
        <f>IF(Tabela_SP3[[#This Row],[kod.dziedziny]]&lt;&gt;"",Tabela_SP3[[#This Row],[kod.dziedziny]],"")</f>
        <v>501</v>
      </c>
      <c r="D129" s="437" t="str">
        <f>IF(Tabela_SP3[[#This Row],[Modul]]&lt;&gt;"",Tabela_SP3[[#This Row],[Modul]],"")</f>
        <v>mpe.06.2</v>
      </c>
      <c r="E129" s="437" t="str">
        <f>IF(Tabela_SP3[[#This Row],[Umiej.prakt.]]&lt;&gt;"",Tabela_SP3[[#This Row],[Umiej.prakt.]],"")</f>
        <v>up</v>
      </c>
      <c r="F129" s="438" t="str">
        <f>IF(Tabela_SP3[[#This Row],[Nazwa przedmiotu]]&lt;&gt;"",Tabela_SP3[[#This Row],[Nazwa przedmiotu]],"")</f>
        <v>Realizacja projektów</v>
      </c>
      <c r="G129" s="439" t="str">
        <f>IF(Tabela_SP3[[#This Row],[Prowadzacy]]&lt;&gt;"",Tabela_SP3[[#This Row],[Prowadzacy]],"")</f>
        <v/>
      </c>
      <c r="H129" s="440" t="str">
        <f>IF(Tabela_SP3[[#This Row],[Forma]]&lt;&gt;"",Tabela_SP3[[#This Row],[Forma]],"")</f>
        <v>ćwiczenia</v>
      </c>
      <c r="I129" s="441" t="str">
        <f>IF(Tabela_SP3[[#This Row],[czy.ects]]&lt;&gt;"",Tabela_SP3[[#This Row],[czy.ects]],"")</f>
        <v>TAK</v>
      </c>
      <c r="J129" s="356" t="str" cm="1">
        <f t="array" ref="J129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29" s="356" t="str" cm="1">
        <f t="array" ref="K129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29" s="356" t="str">
        <f>IF(Tabela_SP3[[#This Row],[sem1.forma]]&lt;&gt;"",Tabela_SP3[[#This Row],[sem1.forma]],"")</f>
        <v/>
      </c>
      <c r="M129" s="357" t="str" cm="1">
        <f t="array" ref="M129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29" s="357" t="str" cm="1">
        <f t="array" ref="N129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29" s="357" t="str">
        <f>IF(Tabela_SP3[[#This Row],[sem2.forma]]&lt;&gt;"",Tabela_SP3[[#This Row],[sem2.forma]],"")</f>
        <v/>
      </c>
      <c r="P129" s="358" t="str" cm="1">
        <f t="array" ref="P129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29" s="359" t="str" cm="1">
        <f t="array" ref="Q129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29" s="358" t="str">
        <f>IF(Tabela_SP3[[#This Row],[sem3.forma]]&lt;&gt;"",Tabela_SP3[[#This Row],[sem3.forma]],"")</f>
        <v/>
      </c>
      <c r="S129" s="355" t="str" cm="1">
        <f t="array" ref="S129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29" s="355" t="str" cm="1">
        <f t="array" ref="T129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29" s="355" t="str">
        <f>IF(Tabela_SP3[[#This Row],[sem4.forma]]&lt;&gt;"",Tabela_SP3[[#This Row],[sem4.forma]],"")</f>
        <v/>
      </c>
      <c r="V129" s="180" t="str" cm="1">
        <f t="array" ref="V129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/>
      </c>
      <c r="W129" s="180" t="str" cm="1">
        <f t="array" ref="W129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29" s="180" t="str">
        <f>IF(Tabela_SP3[[#This Row],[sem5.forma]]&lt;&gt;"",Tabela_SP3[[#This Row],[sem5.forma]],"")</f>
        <v/>
      </c>
      <c r="Y129" s="181" cm="1">
        <f t="array" ref="Y129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18</v>
      </c>
      <c r="Z129" s="181">
        <v>3</v>
      </c>
      <c r="AA129" s="181" t="str">
        <f>IF(Tabela_SP3[[#This Row],[sem6.forma]]&lt;&gt;"",Tabela_SP3[[#This Row],[sem6.forma]],"")</f>
        <v>z</v>
      </c>
      <c r="AB129" s="182" t="str" cm="1">
        <f t="array" ref="AB129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29" s="182" t="str" cm="1">
        <f t="array" ref="AC129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29" s="182" t="str">
        <f>IF(Tabela_SP3[[#This Row],[sem7.forma]]&lt;&gt;"",Tabela_SP3[[#This Row],[sem7.forma]],"")</f>
        <v/>
      </c>
      <c r="AE129" s="183" t="str" cm="1">
        <f t="array" ref="AE129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29" s="183" t="str" cm="1">
        <f t="array" ref="AF129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29" s="183" t="str">
        <f>IF(Tabela_SP3[[#This Row],[sem8.forma]]&lt;&gt;"",Tabela_SP3[[#This Row],[sem8.forma]],"")</f>
        <v/>
      </c>
      <c r="AH129" s="184" t="str" cm="1">
        <f t="array" ref="AH129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29" s="184" t="str" cm="1">
        <f t="array" ref="AI129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29" s="184" t="str">
        <f>IF(Tabela_SP3[[#This Row],[sem9.forma]]&lt;&gt;"",Tabela_SP3[[#This Row],[sem9.forma]],"")</f>
        <v/>
      </c>
      <c r="AK129" s="185" t="str" cm="1">
        <f t="array" ref="AK129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29" s="185" t="str" cm="1">
        <f t="array" ref="AL129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29" s="185" t="str">
        <f>IF(Tabela_SP3[[#This Row],[sem10.forma]]&lt;&gt;"",Tabela_SP3[[#This Row],[sem10.forma]],"")</f>
        <v/>
      </c>
      <c r="AN129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29" s="449">
        <f>IF(ISERR(SEARCH("UP",Tabela_SP3_nst[[#This Row],[Umiej.prakt.]],1)),0,Tabela_SP3_nst[[#This Row],[ects.razem]])</f>
        <v>3</v>
      </c>
      <c r="AP129" s="450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29" s="451">
        <f>SUM(Tabela_SP3_nst[[#This Row],[godziny.samoksztalcenie]],Tabela_SP3_nst[[#This Row],[godziny.konsultacja]],Tabela_SP3_nst[[#This Row],[godziny.egzamin]],Tabela_SP3_nst[[#This Row],[godziny.zajec.razem]])</f>
        <v>52</v>
      </c>
      <c r="AR129" s="452">
        <f>Tabela_SP3[[#This Row],[godziny.samoksztalcenie]]+(Tabela_SP3[[#This Row],[godziny.zajec.razem]]-Tabela_SP3_nst[[#This Row],[godziny.zajec.razem]])</f>
        <v>29</v>
      </c>
      <c r="AS129" s="453">
        <f>Tabela_SP3[[#This Row],[godziny.konsultacja]]</f>
        <v>3</v>
      </c>
      <c r="AT129" s="369">
        <f>Tabela_SP3[[#This Row],[godziny.egzamin]]</f>
        <v>2</v>
      </c>
      <c r="AU129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29" s="455">
        <f>IF(Tabela_SP3_nst[[#This Row],[ects.bezposr.nauczyciel]],Tabela_SP3_nst[[#This Row],[ects.bezposr.nauczyciel]]/Tabela_SP3_nst[[#This Row],[ects.razem]],0)</f>
        <v>0.33333333333333331</v>
      </c>
      <c r="AW129" s="207"/>
    </row>
    <row r="130" spans="1:49" ht="25.5" customHeight="1" x14ac:dyDescent="0.3">
      <c r="A130" s="207"/>
      <c r="B130" s="448" t="str">
        <f>IF(Tabela_SP3[[#This Row],[kod.isced]]&lt;&gt;"",Tabela_SP3[[#This Row],[kod.isced]],"")</f>
        <v>0412</v>
      </c>
      <c r="C130" s="437">
        <f>IF(Tabela_SP3[[#This Row],[kod.dziedziny]]&lt;&gt;"",Tabela_SP3[[#This Row],[kod.dziedziny]],"")</f>
        <v>501</v>
      </c>
      <c r="D130" s="437" t="str">
        <f>IF(Tabela_SP3[[#This Row],[Modul]]&lt;&gt;"",Tabela_SP3[[#This Row],[Modul]],"")</f>
        <v>mpe.07.1</v>
      </c>
      <c r="E130" s="437" t="str">
        <f>IF(Tabela_SP3[[#This Row],[Umiej.prakt.]]&lt;&gt;"",Tabela_SP3[[#This Row],[Umiej.prakt.]],"")</f>
        <v>up</v>
      </c>
      <c r="F130" s="438" t="str">
        <f>IF(Tabela_SP3[[#This Row],[Nazwa przedmiotu]]&lt;&gt;"",Tabela_SP3[[#This Row],[Nazwa przedmiotu]],"")</f>
        <v>Ewaluacja i kontrola projektów</v>
      </c>
      <c r="G130" s="439" t="str">
        <f>IF(Tabela_SP3[[#This Row],[Prowadzacy]]&lt;&gt;"",Tabela_SP3[[#This Row],[Prowadzacy]],"")</f>
        <v/>
      </c>
      <c r="H130" s="440" t="str">
        <f>IF(Tabela_SP3[[#This Row],[Forma]]&lt;&gt;"",Tabela_SP3[[#This Row],[Forma]],"")</f>
        <v>konwersatorium</v>
      </c>
      <c r="I130" s="441" t="str">
        <f>IF(Tabela_SP3[[#This Row],[czy.ects]]&lt;&gt;"",Tabela_SP3[[#This Row],[czy.ects]],"")</f>
        <v>TAK</v>
      </c>
      <c r="J130" s="356" t="str" cm="1">
        <f t="array" ref="J130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30" s="356" t="str" cm="1">
        <f t="array" ref="K130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30" s="356" t="str">
        <f>IF(Tabela_SP3[[#This Row],[sem1.forma]]&lt;&gt;"",Tabela_SP3[[#This Row],[sem1.forma]],"")</f>
        <v/>
      </c>
      <c r="M130" s="357" t="str" cm="1">
        <f t="array" ref="M130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30" s="357" t="str" cm="1">
        <f t="array" ref="N130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30" s="357" t="str">
        <f>IF(Tabela_SP3[[#This Row],[sem2.forma]]&lt;&gt;"",Tabela_SP3[[#This Row],[sem2.forma]],"")</f>
        <v/>
      </c>
      <c r="P130" s="358" t="str" cm="1">
        <f t="array" ref="P130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30" s="359" t="str" cm="1">
        <f t="array" ref="Q130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30" s="358" t="str">
        <f>IF(Tabela_SP3[[#This Row],[sem3.forma]]&lt;&gt;"",Tabela_SP3[[#This Row],[sem3.forma]],"")</f>
        <v/>
      </c>
      <c r="S130" s="355" t="str" cm="1">
        <f t="array" ref="S130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30" s="355" t="str" cm="1">
        <f t="array" ref="T130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30" s="355" t="str">
        <f>IF(Tabela_SP3[[#This Row],[sem4.forma]]&lt;&gt;"",Tabela_SP3[[#This Row],[sem4.forma]],"")</f>
        <v/>
      </c>
      <c r="V130" s="180" t="str" cm="1">
        <f t="array" ref="V130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/>
      </c>
      <c r="W130" s="180" t="str" cm="1">
        <f t="array" ref="W130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30" s="180" t="str">
        <f>IF(Tabela_SP3[[#This Row],[sem5.forma]]&lt;&gt;"",Tabela_SP3[[#This Row],[sem5.forma]],"")</f>
        <v/>
      </c>
      <c r="Y130" s="181" cm="1">
        <f t="array" ref="Y130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9</v>
      </c>
      <c r="Z130" s="181" cm="1">
        <f t="array" ref="Z130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>1</v>
      </c>
      <c r="AA130" s="181" t="str">
        <f>IF(Tabela_SP3[[#This Row],[sem6.forma]]&lt;&gt;"",Tabela_SP3[[#This Row],[sem6.forma]],"")</f>
        <v>z</v>
      </c>
      <c r="AB130" s="182" t="str" cm="1">
        <f t="array" ref="AB130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30" s="182" t="str" cm="1">
        <f t="array" ref="AC130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30" s="182" t="str">
        <f>IF(Tabela_SP3[[#This Row],[sem7.forma]]&lt;&gt;"",Tabela_SP3[[#This Row],[sem7.forma]],"")</f>
        <v/>
      </c>
      <c r="AE130" s="183" t="str" cm="1">
        <f t="array" ref="AE130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30" s="183" t="str" cm="1">
        <f t="array" ref="AF130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30" s="183" t="str">
        <f>IF(Tabela_SP3[[#This Row],[sem8.forma]]&lt;&gt;"",Tabela_SP3[[#This Row],[sem8.forma]],"")</f>
        <v/>
      </c>
      <c r="AH130" s="184" t="str" cm="1">
        <f t="array" ref="AH130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30" s="184" t="str" cm="1">
        <f t="array" ref="AI130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30" s="184" t="str">
        <f>IF(Tabela_SP3[[#This Row],[sem9.forma]]&lt;&gt;"",Tabela_SP3[[#This Row],[sem9.forma]],"")</f>
        <v/>
      </c>
      <c r="AK130" s="185" t="str" cm="1">
        <f t="array" ref="AK130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30" s="185" t="str" cm="1">
        <f t="array" ref="AL130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30" s="185" t="str">
        <f>IF(Tabela_SP3[[#This Row],[sem10.forma]]&lt;&gt;"",Tabela_SP3[[#This Row],[sem10.forma]],"")</f>
        <v/>
      </c>
      <c r="AN130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1</v>
      </c>
      <c r="AO130" s="449">
        <f>IF(ISERR(SEARCH("UP",Tabela_SP3_nst[[#This Row],[Umiej.prakt.]],1)),0,Tabela_SP3_nst[[#This Row],[ects.razem]])</f>
        <v>1</v>
      </c>
      <c r="AP130" s="450">
        <f>IF(Tabela_SP3_nst[[#This Row],[czy.ects]]="TAK",ROUND((SUM(Tabela_SP3_nst[[#This Row],[godziny.konsultacja]],Tabela_SP3_nst[[#This Row],[godziny.egzamin]],Tabela_SP3_nst[[#This Row],[godziny.zajec.razem]])/25)/0.5,0)*0.5,0)</f>
        <v>0.5</v>
      </c>
      <c r="AQ130" s="451">
        <f>SUM(Tabela_SP3_nst[[#This Row],[godziny.samoksztalcenie]],Tabela_SP3_nst[[#This Row],[godziny.konsultacja]],Tabela_SP3_nst[[#This Row],[godziny.egzamin]],Tabela_SP3_nst[[#This Row],[godziny.zajec.razem]])</f>
        <v>27</v>
      </c>
      <c r="AR130" s="452">
        <f>Tabela_SP3[[#This Row],[godziny.samoksztalcenie]]+(Tabela_SP3[[#This Row],[godziny.zajec.razem]]-Tabela_SP3_nst[[#This Row],[godziny.zajec.razem]])</f>
        <v>15</v>
      </c>
      <c r="AS130" s="453">
        <f>Tabela_SP3[[#This Row],[godziny.konsultacja]]</f>
        <v>1</v>
      </c>
      <c r="AT130" s="369">
        <f>Tabela_SP3[[#This Row],[godziny.egzamin]]</f>
        <v>2</v>
      </c>
      <c r="AU130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9</v>
      </c>
      <c r="AV130" s="455">
        <f>IF(Tabela_SP3_nst[[#This Row],[ects.bezposr.nauczyciel]],Tabela_SP3_nst[[#This Row],[ects.bezposr.nauczyciel]]/Tabela_SP3_nst[[#This Row],[ects.razem]],0)</f>
        <v>0.5</v>
      </c>
      <c r="AW130" s="207"/>
    </row>
    <row r="131" spans="1:49" ht="25.5" customHeight="1" x14ac:dyDescent="0.3">
      <c r="A131" s="207"/>
      <c r="B131" s="448" t="str">
        <f>IF(Tabela_SP3[[#This Row],[kod.isced]]&lt;&gt;"",Tabela_SP3[[#This Row],[kod.isced]],"")</f>
        <v>0412</v>
      </c>
      <c r="C131" s="437">
        <f>IF(Tabela_SP3[[#This Row],[kod.dziedziny]]&lt;&gt;"",Tabela_SP3[[#This Row],[kod.dziedziny]],"")</f>
        <v>501</v>
      </c>
      <c r="D131" s="437" t="str">
        <f>IF(Tabela_SP3[[#This Row],[Modul]]&lt;&gt;"",Tabela_SP3[[#This Row],[Modul]],"")</f>
        <v>mpe.07.2</v>
      </c>
      <c r="E131" s="437" t="str">
        <f>IF(Tabela_SP3[[#This Row],[Umiej.prakt.]]&lt;&gt;"",Tabela_SP3[[#This Row],[Umiej.prakt.]],"")</f>
        <v>up</v>
      </c>
      <c r="F131" s="438" t="str">
        <f>IF(Tabela_SP3[[#This Row],[Nazwa przedmiotu]]&lt;&gt;"",Tabela_SP3[[#This Row],[Nazwa przedmiotu]],"")</f>
        <v>Ewaluacja i kontrola projektów</v>
      </c>
      <c r="G131" s="439" t="str">
        <f>IF(Tabela_SP3[[#This Row],[Prowadzacy]]&lt;&gt;"",Tabela_SP3[[#This Row],[Prowadzacy]],"")</f>
        <v/>
      </c>
      <c r="H131" s="440" t="str">
        <f>IF(Tabela_SP3[[#This Row],[Forma]]&lt;&gt;"",Tabela_SP3[[#This Row],[Forma]],"")</f>
        <v>ćwiczenia</v>
      </c>
      <c r="I131" s="441" t="str">
        <f>IF(Tabela_SP3[[#This Row],[czy.ects]]&lt;&gt;"",Tabela_SP3[[#This Row],[czy.ects]],"")</f>
        <v>TAK</v>
      </c>
      <c r="J131" s="356" t="str" cm="1">
        <f t="array" ref="J131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31" s="356" t="str" cm="1">
        <f t="array" ref="K131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31" s="356" t="str">
        <f>IF(Tabela_SP3[[#This Row],[sem1.forma]]&lt;&gt;"",Tabela_SP3[[#This Row],[sem1.forma]],"")</f>
        <v/>
      </c>
      <c r="M131" s="357" t="str" cm="1">
        <f t="array" ref="M131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31" s="357" t="str" cm="1">
        <f t="array" ref="N131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31" s="357" t="str">
        <f>IF(Tabela_SP3[[#This Row],[sem2.forma]]&lt;&gt;"",Tabela_SP3[[#This Row],[sem2.forma]],"")</f>
        <v/>
      </c>
      <c r="P131" s="358" t="str" cm="1">
        <f t="array" ref="P131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31" s="359" t="str" cm="1">
        <f t="array" ref="Q131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31" s="358" t="str">
        <f>IF(Tabela_SP3[[#This Row],[sem3.forma]]&lt;&gt;"",Tabela_SP3[[#This Row],[sem3.forma]],"")</f>
        <v/>
      </c>
      <c r="S131" s="355" t="str" cm="1">
        <f t="array" ref="S131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31" s="355" t="str" cm="1">
        <f t="array" ref="T131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31" s="355" t="str">
        <f>IF(Tabela_SP3[[#This Row],[sem4.forma]]&lt;&gt;"",Tabela_SP3[[#This Row],[sem4.forma]],"")</f>
        <v/>
      </c>
      <c r="V131" s="180" t="str" cm="1">
        <f t="array" ref="V131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/>
      </c>
      <c r="W131" s="180" t="str" cm="1">
        <f t="array" ref="W131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31" s="180" t="str">
        <f>IF(Tabela_SP3[[#This Row],[sem5.forma]]&lt;&gt;"",Tabela_SP3[[#This Row],[sem5.forma]],"")</f>
        <v/>
      </c>
      <c r="Y131" s="181" cm="1">
        <f t="array" ref="Y131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18</v>
      </c>
      <c r="Z131" s="181">
        <v>3</v>
      </c>
      <c r="AA131" s="181" t="str">
        <f>IF(Tabela_SP3[[#This Row],[sem6.forma]]&lt;&gt;"",Tabela_SP3[[#This Row],[sem6.forma]],"")</f>
        <v>z</v>
      </c>
      <c r="AB131" s="182" t="str" cm="1">
        <f t="array" ref="AB131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31" s="182" t="str" cm="1">
        <f t="array" ref="AC131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31" s="182" t="str">
        <f>IF(Tabela_SP3[[#This Row],[sem7.forma]]&lt;&gt;"",Tabela_SP3[[#This Row],[sem7.forma]],"")</f>
        <v/>
      </c>
      <c r="AE131" s="183" t="str" cm="1">
        <f t="array" ref="AE131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31" s="183" t="str" cm="1">
        <f t="array" ref="AF131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31" s="183" t="str">
        <f>IF(Tabela_SP3[[#This Row],[sem8.forma]]&lt;&gt;"",Tabela_SP3[[#This Row],[sem8.forma]],"")</f>
        <v/>
      </c>
      <c r="AH131" s="184" t="str" cm="1">
        <f t="array" ref="AH131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31" s="184" t="str" cm="1">
        <f t="array" ref="AI131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31" s="184" t="str">
        <f>IF(Tabela_SP3[[#This Row],[sem9.forma]]&lt;&gt;"",Tabela_SP3[[#This Row],[sem9.forma]],"")</f>
        <v/>
      </c>
      <c r="AK131" s="185" t="str" cm="1">
        <f t="array" ref="AK131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31" s="185" t="str" cm="1">
        <f t="array" ref="AL131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31" s="185" t="str">
        <f>IF(Tabela_SP3[[#This Row],[sem10.forma]]&lt;&gt;"",Tabela_SP3[[#This Row],[sem10.forma]],"")</f>
        <v/>
      </c>
      <c r="AN131" s="447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3</v>
      </c>
      <c r="AO131" s="449">
        <f>IF(ISERR(SEARCH("UP",Tabela_SP3_nst[[#This Row],[Umiej.prakt.]],1)),0,Tabela_SP3_nst[[#This Row],[ects.razem]])</f>
        <v>3</v>
      </c>
      <c r="AP131" s="450">
        <f>IF(Tabela_SP3_nst[[#This Row],[czy.ects]]="TAK",ROUND((SUM(Tabela_SP3_nst[[#This Row],[godziny.konsultacja]],Tabela_SP3_nst[[#This Row],[godziny.egzamin]],Tabela_SP3_nst[[#This Row],[godziny.zajec.razem]])/25)/0.5,0)*0.5,0)</f>
        <v>1</v>
      </c>
      <c r="AQ131" s="451">
        <f>SUM(Tabela_SP3_nst[[#This Row],[godziny.samoksztalcenie]],Tabela_SP3_nst[[#This Row],[godziny.konsultacja]],Tabela_SP3_nst[[#This Row],[godziny.egzamin]],Tabela_SP3_nst[[#This Row],[godziny.zajec.razem]])</f>
        <v>52</v>
      </c>
      <c r="AR131" s="452">
        <f>Tabela_SP3[[#This Row],[godziny.samoksztalcenie]]+(Tabela_SP3[[#This Row],[godziny.zajec.razem]]-Tabela_SP3_nst[[#This Row],[godziny.zajec.razem]])</f>
        <v>29</v>
      </c>
      <c r="AS131" s="453">
        <f>Tabela_SP3[[#This Row],[godziny.konsultacja]]</f>
        <v>3</v>
      </c>
      <c r="AT131" s="369">
        <f>Tabela_SP3[[#This Row],[godziny.egzamin]]</f>
        <v>2</v>
      </c>
      <c r="AU131" s="454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18</v>
      </c>
      <c r="AV131" s="455">
        <f>IF(Tabela_SP3_nst[[#This Row],[ects.bezposr.nauczyciel]],Tabela_SP3_nst[[#This Row],[ects.bezposr.nauczyciel]]/Tabela_SP3_nst[[#This Row],[ects.razem]],0)</f>
        <v>0.33333333333333331</v>
      </c>
      <c r="AW131" s="207"/>
    </row>
    <row r="132" spans="1:49" ht="25.5" customHeight="1" x14ac:dyDescent="0.3">
      <c r="A132" s="207"/>
      <c r="B132" s="333" t="str">
        <f>IF(Tabela_SP3[[#This Row],[kod.isced]]&lt;&gt;"",Tabela_SP3[[#This Row],[kod.isced]],"")</f>
        <v>0412</v>
      </c>
      <c r="C132" s="193">
        <f>IF(Tabela_SP3[[#This Row],[kod.dziedziny]]&lt;&gt;"",Tabela_SP3[[#This Row],[kod.dziedziny]],"")</f>
        <v>501</v>
      </c>
      <c r="D132" s="193" t="str">
        <f>IF(Tabela_SP3[[#This Row],[Modul]]&lt;&gt;"",Tabela_SP3[[#This Row],[Modul]],"")</f>
        <v>mpe.08.1</v>
      </c>
      <c r="E132" s="193" t="str">
        <f>IF(Tabela_SP3[[#This Row],[Umiej.prakt.]]&lt;&gt;"",Tabela_SP3[[#This Row],[Umiej.prakt.]],"")</f>
        <v>up</v>
      </c>
      <c r="F132" s="308" t="str">
        <f>IF(Tabela_SP3[[#This Row],[Nazwa przedmiotu]]&lt;&gt;"",Tabela_SP3[[#This Row],[Nazwa przedmiotu]],"")</f>
        <v>Seminarium dyplomowe</v>
      </c>
      <c r="G132" s="309" t="str">
        <f>IF(Tabela_SP3[[#This Row],[Prowadzacy]]&lt;&gt;"",Tabela_SP3[[#This Row],[Prowadzacy]],"")</f>
        <v/>
      </c>
      <c r="H132" s="155" t="str">
        <f>IF(Tabela_SP3[[#This Row],[Forma]]&lt;&gt;"",Tabela_SP3[[#This Row],[Forma]],"")</f>
        <v>projekt</v>
      </c>
      <c r="I132" s="156" t="str">
        <f>IF(Tabela_SP3[[#This Row],[czy.ects]]&lt;&gt;"",Tabela_SP3[[#This Row],[czy.ects]],"")</f>
        <v>TAK</v>
      </c>
      <c r="J132" s="356" t="str" cm="1">
        <f t="array" ref="J132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32" s="356" t="str" cm="1">
        <f t="array" ref="K132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32" s="356" t="str">
        <f>IF(Tabela_SP3[[#This Row],[sem1.forma]]&lt;&gt;"",Tabela_SP3[[#This Row],[sem1.forma]],"")</f>
        <v/>
      </c>
      <c r="M132" s="357" t="str" cm="1">
        <f t="array" ref="M132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32" s="357" t="str" cm="1">
        <f t="array" ref="N132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32" s="357" t="str">
        <f>IF(Tabela_SP3[[#This Row],[sem2.forma]]&lt;&gt;"",Tabela_SP3[[#This Row],[sem2.forma]],"")</f>
        <v/>
      </c>
      <c r="P132" s="358" t="str" cm="1">
        <f t="array" ref="P132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32" s="359" t="str" cm="1">
        <f t="array" ref="Q132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32" s="358" t="str">
        <f>IF(Tabela_SP3[[#This Row],[sem3.forma]]&lt;&gt;"",Tabela_SP3[[#This Row],[sem3.forma]],"")</f>
        <v/>
      </c>
      <c r="S132" s="355" t="str" cm="1">
        <f t="array" ref="S132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/>
      </c>
      <c r="T132" s="355" t="str" cm="1">
        <f t="array" ref="T132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32" s="355" t="str">
        <f>IF(Tabela_SP3[[#This Row],[sem4.forma]]&lt;&gt;"",Tabela_SP3[[#This Row],[sem4.forma]],"")</f>
        <v/>
      </c>
      <c r="V132" s="180" cm="1">
        <f t="array" ref="V132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18</v>
      </c>
      <c r="W132" s="180">
        <v>3</v>
      </c>
      <c r="X132" s="180" t="str">
        <f>IF(Tabela_SP3[[#This Row],[sem5.forma]]&lt;&gt;"",Tabela_SP3[[#This Row],[sem5.forma]],"")</f>
        <v>z</v>
      </c>
      <c r="Y132" s="181" cm="1">
        <f t="array" ref="Y132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18</v>
      </c>
      <c r="Z132" s="181">
        <v>3</v>
      </c>
      <c r="AA132" s="181" t="str">
        <f>IF(Tabela_SP3[[#This Row],[sem6.forma]]&lt;&gt;"",Tabela_SP3[[#This Row],[sem6.forma]],"")</f>
        <v>z</v>
      </c>
      <c r="AB132" s="182" t="str" cm="1">
        <f t="array" ref="AB132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32" s="182" t="str" cm="1">
        <f t="array" ref="AC132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32" s="182" t="str">
        <f>IF(Tabela_SP3[[#This Row],[sem7.forma]]&lt;&gt;"",Tabela_SP3[[#This Row],[sem7.forma]],"")</f>
        <v/>
      </c>
      <c r="AE132" s="183" t="str" cm="1">
        <f t="array" ref="AE132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32" s="183" t="str" cm="1">
        <f t="array" ref="AF132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32" s="183" t="str">
        <f>IF(Tabela_SP3[[#This Row],[sem8.forma]]&lt;&gt;"",Tabela_SP3[[#This Row],[sem8.forma]],"")</f>
        <v/>
      </c>
      <c r="AH132" s="184" t="str" cm="1">
        <f t="array" ref="AH132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32" s="184" t="str" cm="1">
        <f t="array" ref="AI132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32" s="184" t="str">
        <f>IF(Tabela_SP3[[#This Row],[sem9.forma]]&lt;&gt;"",Tabela_SP3[[#This Row],[sem9.forma]],"")</f>
        <v/>
      </c>
      <c r="AK132" s="185" t="str" cm="1">
        <f t="array" ref="AK132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32" s="185" t="str" cm="1">
        <f t="array" ref="AL132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32" s="185" t="str">
        <f>IF(Tabela_SP3[[#This Row],[sem10.forma]]&lt;&gt;"",Tabela_SP3[[#This Row],[sem10.forma]],"")</f>
        <v/>
      </c>
      <c r="AN132" s="186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6</v>
      </c>
      <c r="AO132" s="187">
        <f>IF(ISERR(SEARCH("UP",Tabela_SP3_nst[[#This Row],[Umiej.prakt.]],1)),0,Tabela_SP3_nst[[#This Row],[ects.razem]])</f>
        <v>6</v>
      </c>
      <c r="AP132" s="188">
        <f>IF(Tabela_SP3_nst[[#This Row],[czy.ects]]="TAK",ROUND((SUM(Tabela_SP3_nst[[#This Row],[godziny.konsultacja]],Tabela_SP3_nst[[#This Row],[godziny.egzamin]],Tabela_SP3_nst[[#This Row],[godziny.zajec.razem]])/25)/0.5,0)*0.5,0)</f>
        <v>2</v>
      </c>
      <c r="AQ132" s="310">
        <f>SUM(Tabela_SP3_nst[[#This Row],[godziny.samoksztalcenie]],Tabela_SP3_nst[[#This Row],[godziny.konsultacja]],Tabela_SP3_nst[[#This Row],[godziny.egzamin]],Tabela_SP3_nst[[#This Row],[godziny.zajec.razem]])</f>
        <v>105</v>
      </c>
      <c r="AR132" s="311">
        <f>Tabela_SP3[[#This Row],[godziny.samoksztalcenie]]+(Tabela_SP3[[#This Row],[godziny.zajec.razem]]-Tabela_SP3_nst[[#This Row],[godziny.zajec.razem]])</f>
        <v>59</v>
      </c>
      <c r="AS132" s="189">
        <f>Tabela_SP3[[#This Row],[godziny.konsultacja]]</f>
        <v>6</v>
      </c>
      <c r="AT132" s="179">
        <f>Tabela_SP3[[#This Row],[godziny.egzamin]]</f>
        <v>4</v>
      </c>
      <c r="AU132" s="190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36</v>
      </c>
      <c r="AV132" s="334">
        <f>IF(Tabela_SP3_nst[[#This Row],[ects.bezposr.nauczyciel]],Tabela_SP3_nst[[#This Row],[ects.bezposr.nauczyciel]]/Tabela_SP3_nst[[#This Row],[ects.razem]],0)</f>
        <v>0.33333333333333331</v>
      </c>
      <c r="AW132" s="207"/>
    </row>
    <row r="133" spans="1:49" ht="25.5" customHeight="1" x14ac:dyDescent="0.3">
      <c r="A133" s="207"/>
      <c r="B133" s="333" t="str">
        <f>IF(Tabela_SP3[[#This Row],[kod.isced]]&lt;&gt;"",Tabela_SP3[[#This Row],[kod.isced]],"")</f>
        <v>0412</v>
      </c>
      <c r="C133" s="193">
        <f>IF(Tabela_SP3[[#This Row],[kod.dziedziny]]&lt;&gt;"",Tabela_SP3[[#This Row],[kod.dziedziny]],"")</f>
        <v>501</v>
      </c>
      <c r="D133" s="193" t="str">
        <f>IF(Tabela_SP3[[#This Row],[Modul]]&lt;&gt;"",Tabela_SP3[[#This Row],[Modul]],"")</f>
        <v>mpe.09.1</v>
      </c>
      <c r="E133" s="193" t="str">
        <f>IF(Tabela_SP3[[#This Row],[Umiej.prakt.]]&lt;&gt;"",Tabela_SP3[[#This Row],[Umiej.prakt.]],"")</f>
        <v/>
      </c>
      <c r="F133" s="308" t="str">
        <f>IF(Tabela_SP3[[#This Row],[Nazwa przedmiotu]]&lt;&gt;"",Tabela_SP3[[#This Row],[Nazwa przedmiotu]],"")</f>
        <v>Instruktaż do praktyk</v>
      </c>
      <c r="G133" s="309" t="str">
        <f>IF(Tabela_SP3[[#This Row],[Prowadzacy]]&lt;&gt;"",Tabela_SP3[[#This Row],[Prowadzacy]],"")</f>
        <v/>
      </c>
      <c r="H133" s="155" t="str">
        <f>IF(Tabela_SP3[[#This Row],[Forma]]&lt;&gt;"",Tabela_SP3[[#This Row],[Forma]],"")</f>
        <v>instruktaż</v>
      </c>
      <c r="I133" s="156" t="str">
        <f>IF(Tabela_SP3[[#This Row],[czy.ects]]&lt;&gt;"",Tabela_SP3[[#This Row],[czy.ects]],"")</f>
        <v>NIE</v>
      </c>
      <c r="J133" s="356" t="str" cm="1">
        <f t="array" ref="J133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33" s="356" t="str" cm="1">
        <f t="array" ref="K133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33" s="356" t="str">
        <f>IF(Tabela_SP3[[#This Row],[sem1.forma]]&lt;&gt;"",Tabela_SP3[[#This Row],[sem1.forma]],"")</f>
        <v/>
      </c>
      <c r="M133" s="357" t="str" cm="1">
        <f t="array" ref="M133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33" s="357" t="str" cm="1">
        <f t="array" ref="N133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33" s="357" t="str">
        <f>IF(Tabela_SP3[[#This Row],[sem2.forma]]&lt;&gt;"",Tabela_SP3[[#This Row],[sem2.forma]],"")</f>
        <v/>
      </c>
      <c r="P133" s="358" t="str" cm="1">
        <f t="array" ref="P133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33" s="359" t="str" cm="1">
        <f t="array" ref="Q133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33" s="358" t="str">
        <f>IF(Tabela_SP3[[#This Row],[sem3.forma]]&lt;&gt;"",Tabela_SP3[[#This Row],[sem3.forma]],"")</f>
        <v/>
      </c>
      <c r="S133" s="355" cm="1">
        <f t="array" ref="S133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>15</v>
      </c>
      <c r="T133" s="355" t="str" cm="1">
        <f t="array" ref="T133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/>
      </c>
      <c r="U133" s="355" t="str">
        <f>IF(Tabela_SP3[[#This Row],[sem4.forma]]&lt;&gt;"",Tabela_SP3[[#This Row],[sem4.forma]],"")</f>
        <v>n</v>
      </c>
      <c r="V133" s="180" cm="1">
        <f t="array" ref="V133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15</v>
      </c>
      <c r="W133" s="180" t="str" cm="1">
        <f t="array" ref="W133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/>
      </c>
      <c r="X133" s="180" t="str">
        <f>IF(Tabela_SP3[[#This Row],[sem5.forma]]&lt;&gt;"",Tabela_SP3[[#This Row],[sem5.forma]],"")</f>
        <v>n</v>
      </c>
      <c r="Y133" s="181" cm="1">
        <f t="array" ref="Y133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15</v>
      </c>
      <c r="Z133" s="181" t="str" cm="1">
        <f t="array" ref="Z133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/>
      </c>
      <c r="AA133" s="181" t="str">
        <f>IF(Tabela_SP3[[#This Row],[sem6.forma]]&lt;&gt;"",Tabela_SP3[[#This Row],[sem6.forma]],"")</f>
        <v>n</v>
      </c>
      <c r="AB133" s="182" t="str" cm="1">
        <f t="array" ref="AB133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33" s="182" t="str" cm="1">
        <f t="array" ref="AC133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33" s="182" t="str">
        <f>IF(Tabela_SP3[[#This Row],[sem7.forma]]&lt;&gt;"",Tabela_SP3[[#This Row],[sem7.forma]],"")</f>
        <v/>
      </c>
      <c r="AE133" s="183" t="str" cm="1">
        <f t="array" ref="AE133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33" s="183" t="str" cm="1">
        <f t="array" ref="AF133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33" s="183" t="str">
        <f>IF(Tabela_SP3[[#This Row],[sem8.forma]]&lt;&gt;"",Tabela_SP3[[#This Row],[sem8.forma]],"")</f>
        <v/>
      </c>
      <c r="AH133" s="184" t="str" cm="1">
        <f t="array" ref="AH133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33" s="184" t="str" cm="1">
        <f t="array" ref="AI133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33" s="184" t="str">
        <f>IF(Tabela_SP3[[#This Row],[sem9.forma]]&lt;&gt;"",Tabela_SP3[[#This Row],[sem9.forma]],"")</f>
        <v/>
      </c>
      <c r="AK133" s="185" t="str" cm="1">
        <f t="array" ref="AK133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33" s="185" t="str" cm="1">
        <f t="array" ref="AL133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33" s="185" t="str">
        <f>IF(Tabela_SP3[[#This Row],[sem10.forma]]&lt;&gt;"",Tabela_SP3[[#This Row],[sem10.forma]],"")</f>
        <v/>
      </c>
      <c r="AN133" s="186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0</v>
      </c>
      <c r="AO133" s="187">
        <f>IF(ISERR(SEARCH("UP",Tabela_SP3_nst[[#This Row],[Umiej.prakt.]],1)),0,Tabela_SP3_nst[[#This Row],[ects.razem]])</f>
        <v>0</v>
      </c>
      <c r="AP133" s="188">
        <f>IF(Tabela_SP3_nst[[#This Row],[czy.ects]]="TAK",ROUND((SUM(Tabela_SP3_nst[[#This Row],[godziny.konsultacja]],Tabela_SP3_nst[[#This Row],[godziny.egzamin]],Tabela_SP3_nst[[#This Row],[godziny.zajec.razem]])/25)/0.5,0)*0.5,0)</f>
        <v>0</v>
      </c>
      <c r="AQ133" s="310">
        <f>SUM(Tabela_SP3_nst[[#This Row],[godziny.samoksztalcenie]],Tabela_SP3_nst[[#This Row],[godziny.konsultacja]],Tabela_SP3_nst[[#This Row],[godziny.egzamin]],Tabela_SP3_nst[[#This Row],[godziny.zajec.razem]])</f>
        <v>79</v>
      </c>
      <c r="AR133" s="311">
        <f>Tabela_SP3[[#This Row],[godziny.samoksztalcenie]]+(Tabela_SP3[[#This Row],[godziny.zajec.razem]]-Tabela_SP3_nst[[#This Row],[godziny.zajec.razem]])</f>
        <v>26</v>
      </c>
      <c r="AS133" s="189">
        <f>Tabela_SP3[[#This Row],[godziny.konsultacja]]</f>
        <v>4</v>
      </c>
      <c r="AT133" s="179">
        <f>Tabela_SP3[[#This Row],[godziny.egzamin]]</f>
        <v>4</v>
      </c>
      <c r="AU133" s="190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45</v>
      </c>
      <c r="AV133" s="334">
        <f>IF(Tabela_SP3_nst[[#This Row],[ects.bezposr.nauczyciel]],Tabela_SP3_nst[[#This Row],[ects.bezposr.nauczyciel]]/Tabela_SP3_nst[[#This Row],[ects.razem]],0)</f>
        <v>0</v>
      </c>
      <c r="AW133" s="207"/>
    </row>
    <row r="134" spans="1:49" ht="25.5" customHeight="1" x14ac:dyDescent="0.3">
      <c r="A134" s="207"/>
      <c r="B134" s="333" t="str">
        <f>IF(Tabela_SP3[[#This Row],[kod.isced]]&lt;&gt;"",Tabela_SP3[[#This Row],[kod.isced]],"")</f>
        <v>0412</v>
      </c>
      <c r="C134" s="193">
        <f>IF(Tabela_SP3[[#This Row],[kod.dziedziny]]&lt;&gt;"",Tabela_SP3[[#This Row],[kod.dziedziny]],"")</f>
        <v>501</v>
      </c>
      <c r="D134" s="193" t="str">
        <f>IF(Tabela_SP3[[#This Row],[Modul]]&lt;&gt;"",Tabela_SP3[[#This Row],[Modul]],"")</f>
        <v>mpe.09.2</v>
      </c>
      <c r="E134" s="193" t="str">
        <f>IF(Tabela_SP3[[#This Row],[Umiej.prakt.]]&lt;&gt;"",Tabela_SP3[[#This Row],[Umiej.prakt.]],"")</f>
        <v>up</v>
      </c>
      <c r="F134" s="308" t="str">
        <f>IF(Tabela_SP3[[#This Row],[Nazwa przedmiotu]]&lt;&gt;"",Tabela_SP3[[#This Row],[Nazwa przedmiotu]],"")</f>
        <v>Studenckie praktyki zawodowe</v>
      </c>
      <c r="G134" s="309" t="str">
        <f>IF(Tabela_SP3[[#This Row],[Prowadzacy]]&lt;&gt;"",Tabela_SP3[[#This Row],[Prowadzacy]],"")</f>
        <v/>
      </c>
      <c r="H134" s="155" t="str">
        <f>IF(Tabela_SP3[[#This Row],[Forma]]&lt;&gt;"",Tabela_SP3[[#This Row],[Forma]],"")</f>
        <v>praktyka</v>
      </c>
      <c r="I134" s="156" t="str">
        <f>IF(Tabela_SP3[[#This Row],[czy.ects]]&lt;&gt;"",Tabela_SP3[[#This Row],[czy.ects]],"")</f>
        <v>TAK</v>
      </c>
      <c r="J134" s="356" t="str" cm="1">
        <f t="array" ref="J134">_xlfn.IFS(AND(OR(Tabela_SP3[[#This Row],[Forma]]="praktyka",Tabela_SP3[[#This Row],[Forma]]="instruktaż"),Tabela_SP3[[#This Row],[sem1.godziny]]&gt;1),Tabela_SP3[[#This Row],[sem1.godziny]],Tabela_SP3[[#This Row],[sem1.godziny]]&gt;14,Tabela_SP3[[#This Row],[sem1.godziny]]*0.6,Tabela_SP3[[#This Row],[sem1.godziny]]&gt;1,Tabela_SP3[[#This Row],[sem1.godziny]],TRUE,"")</f>
        <v/>
      </c>
      <c r="K134" s="356" t="str" cm="1">
        <f t="array" ref="K134">IF(Tabela_SP3_nst[[#This Row],[czy.ects]]="TAK",_xlfn.IFS(AND(Tabela_SP3_nst[[#This Row],[sem1.godziny]]&gt;=$Q$200,Tabela_SP3_nst[[#This Row],[sem1.forma]]="z"),8,AND(Tabela_SP3_nst[[#This Row],[sem1.godziny]]&gt;=$I$200,Tabela_SP3_nst[[#This Row],[sem1.forma]]="z"),4,AND(Tabela_SP3_nst[[#This Row],[sem1.godziny]]&gt;=$H$200,Tabela_SP3_nst[[#This Row],[sem1.forma]]="e"),2,AND(Tabela_SP3_nst[[#This Row],[sem1.godziny]]&lt;$H$200,Tabela_SP3_nst[[#This Row],[sem1.forma]]="e"),1,AND(Tabela_SP3_nst[[#This Row],[sem1.godziny]]&gt;=$H$200,Tabela_SP3_nst[[#This Row],[sem1.forma]]="z"),2,AND(Tabela_SP3_nst[[#This Row],[sem1.godziny]]&lt;$H$200,Tabela_SP3_nst[[#This Row],[sem1.forma]]="z"),1,TRUE,""),"")</f>
        <v/>
      </c>
      <c r="L134" s="356" t="str">
        <f>IF(Tabela_SP3[[#This Row],[sem1.forma]]&lt;&gt;"",Tabela_SP3[[#This Row],[sem1.forma]],"")</f>
        <v/>
      </c>
      <c r="M134" s="357" t="str" cm="1">
        <f t="array" ref="M134">_xlfn.IFS(AND(OR(Tabela_SP3[[#This Row],[Forma]]="praktyka",Tabela_SP3[[#This Row],[Forma]]="instruktaż"),Tabela_SP3[[#This Row],[sem2.godziny]]&gt;1),Tabela_SP3[[#This Row],[sem2.godziny]],Tabela_SP3[[#This Row],[sem2.godziny]]&gt;14,Tabela_SP3[[#This Row],[sem2.godziny]]*0.6,Tabela_SP3[[#This Row],[sem2.godziny]]&gt;1,Tabela_SP3[[#This Row],[sem2.godziny]],TRUE,"")</f>
        <v/>
      </c>
      <c r="N134" s="357" t="str" cm="1">
        <f t="array" ref="N134">IF(Tabela_SP3_nst[[#This Row],[czy.ects]]="TAK",_xlfn.IFS(AND(Tabela_SP3_nst[[#This Row],[sem2.godziny]]&gt;=$Q$200,Tabela_SP3_nst[[#This Row],[sem2.forma]]="z"),8,AND(Tabela_SP3_nst[[#This Row],[sem2.godziny]]&gt;=$I$200,Tabela_SP3_nst[[#This Row],[sem2.forma]]="z"),4,AND(Tabela_SP3_nst[[#This Row],[sem2.godziny]]&gt;=$H$200,Tabela_SP3_nst[[#This Row],[sem2.forma]]="e"),2,AND(Tabela_SP3_nst[[#This Row],[sem2.godziny]]&lt;$H$200,Tabela_SP3_nst[[#This Row],[sem2.forma]]="e"),1,AND(Tabela_SP3_nst[[#This Row],[sem2.godziny]]&gt;=$H$200,Tabela_SP3_nst[[#This Row],[sem2.forma]]="z"),2,AND(Tabela_SP3_nst[[#This Row],[sem2.godziny]]&lt;$H$200,Tabela_SP3_nst[[#This Row],[sem2.forma]]="z"),1,TRUE,""),"")</f>
        <v/>
      </c>
      <c r="O134" s="357" t="str">
        <f>IF(Tabela_SP3[[#This Row],[sem2.forma]]&lt;&gt;"",Tabela_SP3[[#This Row],[sem2.forma]],"")</f>
        <v/>
      </c>
      <c r="P134" s="358" t="str" cm="1">
        <f t="array" ref="P134">_xlfn.IFS(AND(OR(Tabela_SP3[[#This Row],[Forma]]="praktyka",Tabela_SP3[[#This Row],[Forma]]="instruktaż"),Tabela_SP3[[#This Row],[sem3.godziny]]&gt;1),Tabela_SP3[[#This Row],[sem3.godziny]],Tabela_SP3[[#This Row],[sem3.godziny]]&gt;14,Tabela_SP3[[#This Row],[sem3.godziny]]*0.6,Tabela_SP3[[#This Row],[sem3.godziny]]&gt;1,Tabela_SP3[[#This Row],[sem3.godziny]],TRUE,"")</f>
        <v/>
      </c>
      <c r="Q134" s="359" t="str" cm="1">
        <f t="array" ref="Q134">IF(Tabela_SP3_nst[[#This Row],[czy.ects]]="TAK",_xlfn.IFS(AND(Tabela_SP3_nst[[#This Row],[sem3.godziny]]&gt;=$Q$200,Tabela_SP3_nst[[#This Row],[sem3.forma]]="z"),8,AND(Tabela_SP3_nst[[#This Row],[sem3.godziny]]&gt;=$I$200,Tabela_SP3_nst[[#This Row],[sem3.forma]]="z"),4,AND(Tabela_SP3_nst[[#This Row],[sem3.godziny]]&gt;=$H$200,Tabela_SP3_nst[[#This Row],[sem3.forma]]="e"),2,AND(Tabela_SP3_nst[[#This Row],[sem3.godziny]]&lt;$H$200,Tabela_SP3_nst[[#This Row],[sem3.forma]]="e"),1,AND(Tabela_SP3_nst[[#This Row],[sem3.godziny]]&gt;=$H$200,Tabela_SP3_nst[[#This Row],[sem3.forma]]="z"),2,AND(Tabela_SP3_nst[[#This Row],[sem3.godziny]]&lt;$H$200,Tabela_SP3_nst[[#This Row],[sem3.forma]]="z"),1,TRUE,""),"")</f>
        <v/>
      </c>
      <c r="R134" s="358" t="str">
        <f>IF(Tabela_SP3[[#This Row],[sem3.forma]]&lt;&gt;"",Tabela_SP3[[#This Row],[sem3.forma]],"")</f>
        <v/>
      </c>
      <c r="S134" s="355" cm="1">
        <f t="array" ref="S134">_xlfn.IFS(AND(OR(Tabela_SP3[[#This Row],[Forma]]="praktyka",Tabela_SP3[[#This Row],[Forma]]="instruktaż"),Tabela_SP3[[#This Row],[sem4.godziny]]&gt;1),Tabela_SP3[[#This Row],[sem4.godziny]],Tabela_SP3[[#This Row],[sem4.godziny]]&gt;14,Tabela_SP3[[#This Row],[sem4.godziny]]*0.6,Tabela_SP3[[#This Row],[sem4.godziny]]&gt;1,Tabela_SP3[[#This Row],[sem4.godziny]],TRUE,"")</f>
        <v>200</v>
      </c>
      <c r="T134" s="355" cm="1">
        <f t="array" ref="T134">IF(Tabela_SP3_nst[[#This Row],[czy.ects]]="TAK",_xlfn.IFS(AND(Tabela_SP3_nst[[#This Row],[sem4.godziny]]&gt;=$Q$200,Tabela_SP3_nst[[#This Row],[sem4.forma]]="z"),8,AND(Tabela_SP3_nst[[#This Row],[sem4.godziny]]&gt;=$I$200,Tabela_SP3_nst[[#This Row],[sem4.forma]]="z"),4,AND(Tabela_SP3_nst[[#This Row],[sem4.godziny]]&gt;=$H$200,Tabela_SP3_nst[[#This Row],[sem4.forma]]="e"),2,AND(Tabela_SP3_nst[[#This Row],[sem4.godziny]]&lt;$H$200,Tabela_SP3_nst[[#This Row],[sem4.forma]]="e"),1,AND(Tabela_SP3_nst[[#This Row],[sem4.godziny]]&gt;=$H$200,Tabela_SP3_nst[[#This Row],[sem4.forma]]="z"),2,AND(Tabela_SP3_nst[[#This Row],[sem4.godziny]]&lt;$H$200,Tabela_SP3_nst[[#This Row],[sem4.forma]]="z"),1,TRUE,""),"")</f>
        <v>8</v>
      </c>
      <c r="U134" s="355" t="str">
        <f>IF(Tabela_SP3[[#This Row],[sem4.forma]]&lt;&gt;"",Tabela_SP3[[#This Row],[sem4.forma]],"")</f>
        <v>z</v>
      </c>
      <c r="V134" s="180" cm="1">
        <f t="array" ref="V134">_xlfn.IFS(AND(OR(Tabela_SP3[[#This Row],[Forma]]="praktyka",Tabela_SP3[[#This Row],[Forma]]="instruktaż"),Tabela_SP3[[#This Row],[sem5.godziny]]&gt;1),Tabela_SP3[[#This Row],[sem5.godziny]],Tabela_SP3[[#This Row],[sem5.godziny]]&gt;14,Tabela_SP3[[#This Row],[sem5.godziny]]*0.6,Tabela_SP3[[#This Row],[sem5.godziny]]&gt;1,Tabela_SP3[[#This Row],[sem5.godziny]],TRUE,"")</f>
        <v>200</v>
      </c>
      <c r="W134" s="180" cm="1">
        <f t="array" ref="W134">IF(Tabela_SP3_nst[[#This Row],[czy.ects]]="TAK",_xlfn.IFS(AND(Tabela_SP3_nst[[#This Row],[sem5.godziny]]&gt;=$Q$200,Tabela_SP3_nst[[#This Row],[sem5.forma]]="z"),8,AND(Tabela_SP3_nst[[#This Row],[sem5.godziny]]&gt;=$I$200,Tabela_SP3_nst[[#This Row],[sem5.forma]]="z"),4,AND(Tabela_SP3_nst[[#This Row],[sem5.godziny]]&gt;=$H$200,Tabela_SP3_nst[[#This Row],[sem5.forma]]="e"),2,AND(Tabela_SP3_nst[[#This Row],[sem5.godziny]]&lt;$H$200,Tabela_SP3_nst[[#This Row],[sem5.forma]]="e"),1,AND(Tabela_SP3_nst[[#This Row],[sem5.godziny]]&gt;=$H$200,Tabela_SP3_nst[[#This Row],[sem5.forma]]="z"),2,AND(Tabela_SP3_nst[[#This Row],[sem5.godziny]]&lt;$H$200,Tabela_SP3_nst[[#This Row],[sem5.forma]]="z"),1,TRUE,""),"")</f>
        <v>8</v>
      </c>
      <c r="X134" s="180" t="str">
        <f>IF(Tabela_SP3[[#This Row],[sem5.forma]]&lt;&gt;"",Tabela_SP3[[#This Row],[sem5.forma]],"")</f>
        <v>z</v>
      </c>
      <c r="Y134" s="181" cm="1">
        <f t="array" ref="Y134">_xlfn.IFS(AND(OR(Tabela_SP3[[#This Row],[Forma]]="praktyka",Tabela_SP3[[#This Row],[Forma]]="instruktaż"),Tabela_SP3[[#This Row],[sem6.godziny]]&gt;1),Tabela_SP3[[#This Row],[sem6.godziny]],Tabela_SP3[[#This Row],[sem6.godziny]]&gt;14,Tabela_SP3[[#This Row],[sem6.godziny]]*0.6,Tabela_SP3[[#This Row],[sem6.godziny]]&gt;1,Tabela_SP3[[#This Row],[sem6.godziny]],TRUE,"")</f>
        <v>208</v>
      </c>
      <c r="Z134" s="181" cm="1">
        <f t="array" ref="Z134">IF(Tabela_SP3_nst[[#This Row],[czy.ects]]="TAK",_xlfn.IFS(AND(Tabela_SP3_nst[[#This Row],[sem6.godziny]]&gt;=$Q$200,Tabela_SP3_nst[[#This Row],[sem6.forma]]="z"),8,AND(Tabela_SP3_nst[[#This Row],[sem6.godziny]]&gt;=$I$200,Tabela_SP3_nst[[#This Row],[sem6.forma]]="z"),4,AND(Tabela_SP3_nst[[#This Row],[sem6.godziny]]&gt;=$H$200,Tabela_SP3_nst[[#This Row],[sem6.forma]]="e"),2,AND(Tabela_SP3_nst[[#This Row],[sem6.godziny]]&lt;$H$200,Tabela_SP3_nst[[#This Row],[sem6.forma]]="e"),1,AND(Tabela_SP3_nst[[#This Row],[sem6.godziny]]&gt;=$H$200,Tabela_SP3_nst[[#This Row],[sem6.forma]]="z"),2,AND(Tabela_SP3_nst[[#This Row],[sem6.godziny]]&lt;$H$200,Tabela_SP3_nst[[#This Row],[sem6.forma]]="z"),1,TRUE,""),"")</f>
        <v>8</v>
      </c>
      <c r="AA134" s="181" t="str">
        <f>IF(Tabela_SP3[[#This Row],[sem6.forma]]&lt;&gt;"",Tabela_SP3[[#This Row],[sem6.forma]],"")</f>
        <v>z</v>
      </c>
      <c r="AB134" s="182" t="str" cm="1">
        <f t="array" ref="AB134">_xlfn.IFS(AND(OR(Tabela_SP3[[#This Row],[Forma]]="praktyka",Tabela_SP3[[#This Row],[Forma]]="instruktaż"),Tabela_SP3[[#This Row],[sem7.godziny]]&gt;1),Tabela_SP3[[#This Row],[sem7.godziny]],Tabela_SP3[[#This Row],[sem7.godziny]]&gt;14,Tabela_SP3[[#This Row],[sem7.godziny]]*0.6,Tabela_SP3[[#This Row],[sem7.godziny]]&gt;1,Tabela_SP3[[#This Row],[sem7.godziny]],TRUE,"")</f>
        <v/>
      </c>
      <c r="AC134" s="182" t="str" cm="1">
        <f t="array" ref="AC134">IF(Tabela_SP3_nst[[#This Row],[czy.ects]]="TAK",_xlfn.IFS(AND(Tabela_SP3_nst[[#This Row],[sem7.godziny]]&gt;=$Q$200,Tabela_SP3_nst[[#This Row],[sem7.forma]]="z"),8,AND(Tabela_SP3_nst[[#This Row],[sem7.godziny]]&gt;=$I$200,Tabela_SP3_nst[[#This Row],[sem7.forma]]="z"),4,AND(Tabela_SP3_nst[[#This Row],[sem7.godziny]]&gt;=$H$200,Tabela_SP3_nst[[#This Row],[sem7.forma]]="e"),2,AND(Tabela_SP3_nst[[#This Row],[sem7.godziny]]&lt;$H$200,Tabela_SP3_nst[[#This Row],[sem7.forma]]="e"),1,AND(Tabela_SP3_nst[[#This Row],[sem7.godziny]]&gt;=$H$200,Tabela_SP3_nst[[#This Row],[sem7.forma]]="z"),2,AND(Tabela_SP3_nst[[#This Row],[sem7.godziny]]&lt;$H$200,Tabela_SP3_nst[[#This Row],[sem7.forma]]="z"),1,TRUE,""),"")</f>
        <v/>
      </c>
      <c r="AD134" s="182" t="str">
        <f>IF(Tabela_SP3[[#This Row],[sem7.forma]]&lt;&gt;"",Tabela_SP3[[#This Row],[sem7.forma]],"")</f>
        <v/>
      </c>
      <c r="AE134" s="183" t="str" cm="1">
        <f t="array" ref="AE134">_xlfn.IFS(AND(OR(Tabela_SP3[[#This Row],[Forma]]="praktyka",Tabela_SP3[[#This Row],[Forma]]="instruktaż"),Tabela_SP3[[#This Row],[sem8.godziny]]&gt;1),Tabela_SP3[[#This Row],[sem8.godziny]],Tabela_SP3[[#This Row],[sem8.godziny]]&gt;14,Tabela_SP3[[#This Row],[sem8.godziny]]*0.6,Tabela_SP3[[#This Row],[sem8.godziny]]&gt;1,Tabela_SP3[[#This Row],[sem8.godziny]],TRUE,"")</f>
        <v/>
      </c>
      <c r="AF134" s="183" t="str" cm="1">
        <f t="array" ref="AF134">IF(Tabela_SP3_nst[[#This Row],[czy.ects]]="TAK",_xlfn.IFS(AND(Tabela_SP3_nst[[#This Row],[sem8.godziny]]&gt;=$Q$200,Tabela_SP3_nst[[#This Row],[sem8.forma]]="z"),8,AND(Tabela_SP3_nst[[#This Row],[sem8.godziny]]&gt;=$I$200,Tabela_SP3_nst[[#This Row],[sem8.forma]]="z"),4,AND(Tabela_SP3_nst[[#This Row],[sem8.godziny]]&gt;=$H$200,Tabela_SP3_nst[[#This Row],[sem8.forma]]="e"),2,AND(Tabela_SP3_nst[[#This Row],[sem8.godziny]]&lt;$H$200,Tabela_SP3_nst[[#This Row],[sem8.forma]]="e"),1,AND(Tabela_SP3_nst[[#This Row],[sem8.godziny]]&gt;=$H$200,Tabela_SP3_nst[[#This Row],[sem8.forma]]="z"),2,AND(Tabela_SP3_nst[[#This Row],[sem8.godziny]]&lt;$H$200,Tabela_SP3_nst[[#This Row],[sem8.forma]]="z"),1,TRUE,""),"")</f>
        <v/>
      </c>
      <c r="AG134" s="183" t="str">
        <f>IF(Tabela_SP3[[#This Row],[sem8.forma]]&lt;&gt;"",Tabela_SP3[[#This Row],[sem8.forma]],"")</f>
        <v/>
      </c>
      <c r="AH134" s="184" t="str" cm="1">
        <f t="array" ref="AH134">_xlfn.IFS(AND(OR(Tabela_SP3[[#This Row],[Forma]]="praktyka",Tabela_SP3[[#This Row],[Forma]]="instruktaż"),Tabela_SP3[[#This Row],[sem9.godziny]]&gt;1),Tabela_SP3[[#This Row],[sem9.godziny]],Tabela_SP3[[#This Row],[sem9.godziny]]&gt;14,Tabela_SP3[[#This Row],[sem9.godziny]]*0.6,Tabela_SP3[[#This Row],[sem9.godziny]]&gt;1,Tabela_SP3[[#This Row],[sem9.godziny]],TRUE,"")</f>
        <v/>
      </c>
      <c r="AI134" s="184" t="str" cm="1">
        <f t="array" ref="AI134">IF(Tabela_SP3_nst[[#This Row],[czy.ects]]="TAK",_xlfn.IFS(AND(Tabela_SP3_nst[[#This Row],[sem9.godziny]]&gt;=$Q$200,Tabela_SP3_nst[[#This Row],[sem9.forma]]="z"),8,AND(Tabela_SP3_nst[[#This Row],[sem9.godziny]]&gt;=$I$200,Tabela_SP3_nst[[#This Row],[sem9.forma]]="z"),4,AND(Tabela_SP3_nst[[#This Row],[sem9.godziny]]&gt;=$H$200,Tabela_SP3_nst[[#This Row],[sem9.forma]]="e"),2,AND(Tabela_SP3_nst[[#This Row],[sem9.godziny]]&lt;$H$200,Tabela_SP3_nst[[#This Row],[sem9.forma]]="e"),1,AND(Tabela_SP3_nst[[#This Row],[sem9.godziny]]&gt;=$H$200,Tabela_SP3_nst[[#This Row],[sem9.forma]]="z"),2,AND(Tabela_SP3_nst[[#This Row],[sem9.godziny]]&lt;$H$200,Tabela_SP3_nst[[#This Row],[sem9.forma]]="z"),1,TRUE,""),"")</f>
        <v/>
      </c>
      <c r="AJ134" s="184" t="str">
        <f>IF(Tabela_SP3[[#This Row],[sem9.forma]]&lt;&gt;"",Tabela_SP3[[#This Row],[sem9.forma]],"")</f>
        <v/>
      </c>
      <c r="AK134" s="185" t="str" cm="1">
        <f t="array" ref="AK134">_xlfn.IFS(AND(OR(Tabela_SP3[[#This Row],[Forma]]="praktyka",Tabela_SP3[[#This Row],[Forma]]="instruktaż"),Tabela_SP3[[#This Row],[sem10.godziny]]&gt;1),Tabela_SP3[[#This Row],[sem10.godziny]],Tabela_SP3[[#This Row],[sem10.godziny]]&gt;14,Tabela_SP3[[#This Row],[sem10.godziny]]*0.6,Tabela_SP3[[#This Row],[sem10.godziny]]&gt;1,Tabela_SP3[[#This Row],[sem10.godziny]],TRUE,"")</f>
        <v/>
      </c>
      <c r="AL134" s="185" t="str" cm="1">
        <f t="array" ref="AL134">IF(Tabela_SP3_nst[[#This Row],[czy.ects]]="TAK",_xlfn.IFS(AND(Tabela_SP3_nst[[#This Row],[sem10.godziny]]&gt;=$Q$200,Tabela_SP3_nst[[#This Row],[sem10.forma]]="z"),8,AND(Tabela_SP3_nst[[#This Row],[sem10.godziny]]&gt;=$I$200,Tabela_SP3_nst[[#This Row],[sem10.forma]]="z"),4,AND(Tabela_SP3_nst[[#This Row],[sem10.godziny]]&gt;=$H$200,Tabela_SP3_nst[[#This Row],[sem10.forma]]="e"),2,AND(Tabela_SP3_nst[[#This Row],[sem10.godziny]]&lt;$H$200,Tabela_SP3_nst[[#This Row],[sem10.forma]]="e"),1,AND(Tabela_SP3_nst[[#This Row],[sem10.godziny]]&gt;=$H$200,Tabela_SP3_nst[[#This Row],[sem10.forma]]="z"),2,AND(Tabela_SP3_nst[[#This Row],[sem10.godziny]]&lt;$H$200,Tabela_SP3_nst[[#This Row],[sem10.forma]]="z"),1,TRUE,""),"")</f>
        <v/>
      </c>
      <c r="AM134" s="185" t="str">
        <f>IF(Tabela_SP3[[#This Row],[sem10.forma]]&lt;&gt;"",Tabela_SP3[[#This Row],[sem10.forma]],"")</f>
        <v/>
      </c>
      <c r="AN134" s="186">
        <f>SUM(Tabela_SP3_nst[[#This Row],[sem1.ects]],Tabela_SP3_nst[[#This Row],[sem2.ects]],Tabela_SP3_nst[[#This Row],[sem3.ects]],Tabela_SP3_nst[[#This Row],[sem4.ects]],Tabela_SP3_nst[[#This Row],[sem5.ects]],Tabela_SP3_nst[[#This Row],[sem6.ects]],Tabela_SP3_nst[[#This Row],[sem7.ects]],Tabela_SP3_nst[[#This Row],[sem8.ects]],Tabela_SP3_nst[[#This Row],[sem9.ects]],Tabela_SP3_nst[[#This Row],[sem10.ects]])</f>
        <v>24</v>
      </c>
      <c r="AO134" s="187">
        <f>IF(ISERR(SEARCH("UP",Tabela_SP3_nst[[#This Row],[Umiej.prakt.]],1)),0,Tabela_SP3_nst[[#This Row],[ects.razem]])</f>
        <v>24</v>
      </c>
      <c r="AP134" s="188">
        <f>IF(Tabela_SP3_nst[[#This Row],[czy.ects]]="TAK",ROUND((SUM(Tabela_SP3_nst[[#This Row],[godziny.konsultacja]],Tabela_SP3_nst[[#This Row],[godziny.egzamin]],Tabela_SP3_nst[[#This Row],[godziny.zajec.razem]])/25)/0.5,0)*0.5,0)</f>
        <v>27</v>
      </c>
      <c r="AQ134" s="310">
        <f>SUM(Tabela_SP3_nst[[#This Row],[godziny.samoksztalcenie]],Tabela_SP3_nst[[#This Row],[godziny.konsultacja]],Tabela_SP3_nst[[#This Row],[godziny.egzamin]],Tabela_SP3_nst[[#This Row],[godziny.zajec.razem]])</f>
        <v>1008</v>
      </c>
      <c r="AR134" s="311">
        <f>Tabela_SP3[[#This Row],[godziny.samoksztalcenie]]+(Tabela_SP3[[#This Row],[godziny.zajec.razem]]-Tabela_SP3_nst[[#This Row],[godziny.zajec.razem]])</f>
        <v>336</v>
      </c>
      <c r="AS134" s="189">
        <f>Tabela_SP3[[#This Row],[godziny.konsultacja]]</f>
        <v>60</v>
      </c>
      <c r="AT134" s="179">
        <f>Tabela_SP3[[#This Row],[godziny.egzamin]]</f>
        <v>4</v>
      </c>
      <c r="AU134" s="190">
        <f>SUM(Tabela_SP3_nst[[#This Row],[sem1.godziny]],Tabela_SP3_nst[[#This Row],[sem2.godziny]],Tabela_SP3_nst[[#This Row],[sem3.godziny]],Tabela_SP3_nst[[#This Row],[sem4.godziny]],Tabela_SP3_nst[[#This Row],[sem5.godziny]],Tabela_SP3_nst[[#This Row],[sem6.godziny]],Tabela_SP3_nst[[#This Row],[sem7.godziny]],Tabela_SP3_nst[[#This Row],[sem8.godziny]],Tabela_SP3_nst[[#This Row],[sem9.godziny]],Tabela_SP3_nst[[#This Row],[sem10.godziny]])</f>
        <v>608</v>
      </c>
      <c r="AV134" s="334">
        <f>IF(Tabela_SP3_nst[[#This Row],[ects.bezposr.nauczyciel]],Tabela_SP3_nst[[#This Row],[ects.bezposr.nauczyciel]]/Tabela_SP3_nst[[#This Row],[ects.razem]],0)</f>
        <v>1.125</v>
      </c>
      <c r="AW134" s="207"/>
    </row>
    <row r="135" spans="1:49" ht="8.25" customHeight="1" x14ac:dyDescent="0.3">
      <c r="A135" s="207"/>
      <c r="B135" s="77"/>
      <c r="C135" s="49"/>
      <c r="D135" s="49"/>
      <c r="E135" s="49"/>
      <c r="F135" s="7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78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207"/>
      <c r="AP135" s="207"/>
      <c r="AQ135" s="207"/>
      <c r="AR135" s="207"/>
      <c r="AS135" s="207"/>
      <c r="AT135" s="207"/>
      <c r="AU135" s="207"/>
      <c r="AV135" s="207"/>
      <c r="AW135" s="207"/>
    </row>
    <row r="136" spans="1:49" ht="25.5" hidden="1" customHeight="1" thickBot="1" x14ac:dyDescent="0.35">
      <c r="A136" s="207"/>
      <c r="B136" s="790" t="str">
        <f>'PLAN ST'!B136</f>
        <v>RAZEM W GRUPIE SPECJALNOŚCI: SP4</v>
      </c>
      <c r="C136" s="791"/>
      <c r="D136" s="791"/>
      <c r="E136" s="791"/>
      <c r="F136" s="791"/>
      <c r="G136" s="791"/>
      <c r="H136" s="791"/>
      <c r="I136" s="791"/>
      <c r="J136" s="98">
        <f>SUM(Tabela_SP4_nst[sem1.godziny])</f>
        <v>0</v>
      </c>
      <c r="K136" s="98">
        <f>SUM(Tabela_SP4_nst[sem1.ects])</f>
        <v>0</v>
      </c>
      <c r="L136" s="98"/>
      <c r="M136" s="98">
        <f>SUM(Tabela_SP4_nst[sem2.godziny])</f>
        <v>0</v>
      </c>
      <c r="N136" s="98">
        <f>SUM(Tabela_SP4_nst[sem2.ects])</f>
        <v>0</v>
      </c>
      <c r="O136" s="98"/>
      <c r="P136" s="98">
        <f>SUM(Tabela_SP4_nst[sem3.godziny])</f>
        <v>0</v>
      </c>
      <c r="Q136" s="98">
        <f>SUM(Tabela_SP4_nst[sem3.ects])</f>
        <v>0</v>
      </c>
      <c r="R136" s="98"/>
      <c r="S136" s="98">
        <f>SUM(Tabela_SP4_nst[sem4.godziny])</f>
        <v>0</v>
      </c>
      <c r="T136" s="98">
        <f>SUM(Tabela_SP4_nst[sem4.ects])</f>
        <v>0</v>
      </c>
      <c r="U136" s="98"/>
      <c r="V136" s="98">
        <f>SUM(Tabela_SP4_nst[sem5.godziny])</f>
        <v>0</v>
      </c>
      <c r="W136" s="98">
        <f>SUM(Tabela_SP4_nst[sem5.ects])</f>
        <v>0</v>
      </c>
      <c r="X136" s="98"/>
      <c r="Y136" s="98">
        <f>SUM(Tabela_SP4_nst[sem6.godziny])</f>
        <v>0</v>
      </c>
      <c r="Z136" s="98">
        <f>SUM(Tabela_SP4_nst[sem6.ects])</f>
        <v>0</v>
      </c>
      <c r="AA136" s="98"/>
      <c r="AB136" s="98">
        <f>SUM(Tabela_SP4_nst[sem7.godziny])</f>
        <v>0</v>
      </c>
      <c r="AC136" s="98">
        <f>SUM(Tabela_SP4_nst[sem7.ects])</f>
        <v>0</v>
      </c>
      <c r="AD136" s="98"/>
      <c r="AE136" s="98">
        <f>SUM(Tabela_SP4_nst[sem8.godziny])</f>
        <v>0</v>
      </c>
      <c r="AF136" s="98">
        <f>SUM(Tabela_SP4_nst[sem8.ects])</f>
        <v>0</v>
      </c>
      <c r="AG136" s="98"/>
      <c r="AH136" s="98">
        <f>SUM(Tabela_SP4_nst[sem9.godziny])</f>
        <v>0</v>
      </c>
      <c r="AI136" s="98">
        <f>SUM(Tabela_SP4_nst[sem9.ects])</f>
        <v>0</v>
      </c>
      <c r="AJ136" s="98"/>
      <c r="AK136" s="98">
        <f>SUM(Tabela_SP4_nst[sem10.godziny])</f>
        <v>0</v>
      </c>
      <c r="AL136" s="98">
        <f>SUM(Tabela_SP4_nst[sem10.ects])</f>
        <v>0</v>
      </c>
      <c r="AM136" s="98"/>
      <c r="AN136" s="98">
        <f>SUM(Tabela_SP4_nst[ects.razem])</f>
        <v>0</v>
      </c>
      <c r="AO136" s="98">
        <f>SUM(Tabela_SP4_nst[ects.umiej.prakt.])</f>
        <v>0</v>
      </c>
      <c r="AP136" s="98">
        <f>SUM(Tabela_SP4_nst[ects.bezposr.nauczyciel])</f>
        <v>0</v>
      </c>
      <c r="AQ136" s="98">
        <f>SUM(Tabela_SP4_nst[godziny.razem.student])</f>
        <v>0</v>
      </c>
      <c r="AR136" s="98">
        <f>SUM(Tabela_SP4_nst[godziny.samoksztalcenie])</f>
        <v>0</v>
      </c>
      <c r="AS136" s="98">
        <f>SUM(Tabela_SP4_nst[godziny.konsultacja])</f>
        <v>0</v>
      </c>
      <c r="AT136" s="98">
        <f>SUM(Tabela_SP4_nst[godziny.egzamin])</f>
        <v>0</v>
      </c>
      <c r="AU136" s="98">
        <f>SUM(Tabela_SP4_nst[godziny.zajec.razem])</f>
        <v>0</v>
      </c>
      <c r="AV136" s="6"/>
      <c r="AW136" s="207"/>
    </row>
    <row r="137" spans="1:49" ht="25.5" hidden="1" customHeight="1" x14ac:dyDescent="0.3">
      <c r="A137" s="207"/>
      <c r="B137" s="147" t="s">
        <v>374</v>
      </c>
      <c r="C137" s="148" t="s">
        <v>373</v>
      </c>
      <c r="D137" s="148" t="s">
        <v>372</v>
      </c>
      <c r="E137" s="148" t="s">
        <v>371</v>
      </c>
      <c r="F137" s="305" t="s">
        <v>368</v>
      </c>
      <c r="G137" s="306" t="s">
        <v>369</v>
      </c>
      <c r="H137" s="149" t="s">
        <v>370</v>
      </c>
      <c r="I137" s="150" t="s">
        <v>375</v>
      </c>
      <c r="J137" s="80" t="s">
        <v>376</v>
      </c>
      <c r="K137" s="80" t="s">
        <v>377</v>
      </c>
      <c r="L137" s="80" t="s">
        <v>378</v>
      </c>
      <c r="M137" s="81" t="s">
        <v>379</v>
      </c>
      <c r="N137" s="81" t="s">
        <v>380</v>
      </c>
      <c r="O137" s="81" t="s">
        <v>381</v>
      </c>
      <c r="P137" s="151" t="s">
        <v>382</v>
      </c>
      <c r="Q137" s="82" t="s">
        <v>383</v>
      </c>
      <c r="R137" s="151" t="s">
        <v>384</v>
      </c>
      <c r="S137" s="83" t="s">
        <v>385</v>
      </c>
      <c r="T137" s="83" t="s">
        <v>386</v>
      </c>
      <c r="U137" s="83" t="s">
        <v>387</v>
      </c>
      <c r="V137" s="84" t="s">
        <v>388</v>
      </c>
      <c r="W137" s="84" t="s">
        <v>389</v>
      </c>
      <c r="X137" s="84" t="s">
        <v>390</v>
      </c>
      <c r="Y137" s="85" t="s">
        <v>391</v>
      </c>
      <c r="Z137" s="85" t="s">
        <v>392</v>
      </c>
      <c r="AA137" s="85" t="s">
        <v>393</v>
      </c>
      <c r="AB137" s="86" t="s">
        <v>394</v>
      </c>
      <c r="AC137" s="86" t="s">
        <v>395</v>
      </c>
      <c r="AD137" s="86" t="s">
        <v>396</v>
      </c>
      <c r="AE137" s="99" t="s">
        <v>409</v>
      </c>
      <c r="AF137" s="99" t="s">
        <v>410</v>
      </c>
      <c r="AG137" s="99" t="s">
        <v>411</v>
      </c>
      <c r="AH137" s="100" t="s">
        <v>412</v>
      </c>
      <c r="AI137" s="100" t="s">
        <v>413</v>
      </c>
      <c r="AJ137" s="100" t="s">
        <v>414</v>
      </c>
      <c r="AK137" s="101" t="s">
        <v>415</v>
      </c>
      <c r="AL137" s="101" t="s">
        <v>416</v>
      </c>
      <c r="AM137" s="101" t="s">
        <v>417</v>
      </c>
      <c r="AN137" s="87" t="s">
        <v>397</v>
      </c>
      <c r="AO137" s="88" t="s">
        <v>398</v>
      </c>
      <c r="AP137" s="89" t="s">
        <v>399</v>
      </c>
      <c r="AQ137" s="211" t="s">
        <v>400</v>
      </c>
      <c r="AR137" s="90" t="s">
        <v>401</v>
      </c>
      <c r="AS137" s="91" t="s">
        <v>402</v>
      </c>
      <c r="AT137" s="80" t="s">
        <v>403</v>
      </c>
      <c r="AU137" s="92" t="s">
        <v>404</v>
      </c>
      <c r="AV137" s="212" t="s">
        <v>405</v>
      </c>
      <c r="AW137" s="207"/>
    </row>
    <row r="138" spans="1:49" ht="25.5" hidden="1" customHeight="1" x14ac:dyDescent="0.3">
      <c r="A138" s="207"/>
      <c r="B138" s="333" t="str">
        <f>IF(Tabela_SP4[[#This Row],[kod.isced]]&lt;&gt;"",Tabela_SP4[[#This Row],[kod.isced]],"")</f>
        <v/>
      </c>
      <c r="C138" s="193" t="str">
        <f>IF(Tabela_SP4[[#This Row],[kod.dziedziny]]&lt;&gt;"",Tabela_SP4[[#This Row],[kod.dziedziny]],"")</f>
        <v/>
      </c>
      <c r="D138" s="193" t="str">
        <f>IF(Tabela_SP4[[#This Row],[Modul]]&lt;&gt;"",Tabela_SP4[[#This Row],[Modul]],"")</f>
        <v/>
      </c>
      <c r="E138" s="193" t="str">
        <f>IF(Tabela_SP4[[#This Row],[Umiej.prakt.]]&lt;&gt;"",Tabela_SP4[[#This Row],[Umiej.prakt.]],"")</f>
        <v/>
      </c>
      <c r="F138" s="308" t="str">
        <f>IF(Tabela_SP4[[#This Row],[Nazwa przedmiotu]]&lt;&gt;"",Tabela_SP4[[#This Row],[Nazwa przedmiotu]],"")</f>
        <v/>
      </c>
      <c r="G138" s="309" t="str">
        <f>IF(Tabela_SP4[[#This Row],[Prowadzacy]]&lt;&gt;"",Tabela_SP4[[#This Row],[Prowadzacy]],"")</f>
        <v/>
      </c>
      <c r="H138" s="155" t="str">
        <f>IF(Tabela_SP4[[#This Row],[Forma]]&lt;&gt;"",Tabela_SP4[[#This Row],[Forma]],"")</f>
        <v/>
      </c>
      <c r="I138" s="156" t="str">
        <f>IF(Tabela_SP4[[#This Row],[czy.ects]]&lt;&gt;"",Tabela_SP4[[#This Row],[czy.ects]],"")</f>
        <v/>
      </c>
      <c r="J138" s="356" t="str" cm="1">
        <f t="array" ref="J138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38" s="356" t="str" cm="1">
        <f t="array" ref="K138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38" s="356" t="str">
        <f>IF(Tabela_SP4[[#This Row],[sem1.forma]]&lt;&gt;"",Tabela_SP4[[#This Row],[sem1.forma]],"")</f>
        <v/>
      </c>
      <c r="M138" s="357" t="str" cm="1">
        <f t="array" ref="M138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38" s="357" t="str" cm="1">
        <f t="array" ref="N138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38" s="357" t="str">
        <f>IF(Tabela_SP4[[#This Row],[sem2.forma]]&lt;&gt;"",Tabela_SP4[[#This Row],[sem2.forma]],"")</f>
        <v/>
      </c>
      <c r="P138" s="358" t="str" cm="1">
        <f t="array" ref="P138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38" s="359" t="str" cm="1">
        <f t="array" ref="Q138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38" s="358" t="str">
        <f>IF(Tabela_SP4[[#This Row],[sem3.forma]]&lt;&gt;"",Tabela_SP4[[#This Row],[sem3.forma]],"")</f>
        <v/>
      </c>
      <c r="S138" s="355" t="str" cm="1">
        <f t="array" ref="S138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38" s="355" t="str" cm="1">
        <f t="array" ref="T138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38" s="355" t="str">
        <f>IF(Tabela_SP4[[#This Row],[sem4.forma]]&lt;&gt;"",Tabela_SP4[[#This Row],[sem4.forma]],"")</f>
        <v/>
      </c>
      <c r="V138" s="180" t="str" cm="1">
        <f t="array" ref="V138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38" s="180" t="str" cm="1">
        <f t="array" ref="W138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38" s="180" t="str">
        <f>IF(Tabela_SP4[[#This Row],[sem5.forma]]&lt;&gt;"",Tabela_SP4[[#This Row],[sem5.forma]],"")</f>
        <v/>
      </c>
      <c r="Y138" s="181" t="str" cm="1">
        <f t="array" ref="Y138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38" s="181" t="str" cm="1">
        <f t="array" ref="Z138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38" s="181" t="str">
        <f>IF(Tabela_SP4[[#This Row],[sem6.forma]]&lt;&gt;"",Tabela_SP4[[#This Row],[sem6.forma]],"")</f>
        <v/>
      </c>
      <c r="AB138" s="182" t="str" cm="1">
        <f t="array" ref="AB138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38" s="182" t="str" cm="1">
        <f t="array" ref="AC138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38" s="182" t="str">
        <f>IF(Tabela_SP4[[#This Row],[sem7.forma]]&lt;&gt;"",Tabela_SP4[[#This Row],[sem7.forma]],"")</f>
        <v/>
      </c>
      <c r="AE138" s="183" t="str" cm="1">
        <f t="array" ref="AE138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38" s="183" t="str" cm="1">
        <f t="array" ref="AF138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38" s="183" t="str">
        <f>IF(Tabela_SP4[[#This Row],[sem8.forma]]&lt;&gt;"",Tabela_SP4[[#This Row],[sem8.forma]],"")</f>
        <v/>
      </c>
      <c r="AH138" s="184" t="str" cm="1">
        <f t="array" ref="AH138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38" s="184" t="str" cm="1">
        <f t="array" ref="AI138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38" s="184" t="str">
        <f>IF(Tabela_SP4[[#This Row],[sem9.forma]]&lt;&gt;"",Tabela_SP4[[#This Row],[sem9.forma]],"")</f>
        <v/>
      </c>
      <c r="AK138" s="185" t="str" cm="1">
        <f t="array" ref="AK138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38" s="185" t="str" cm="1">
        <f t="array" ref="AL138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38" s="185" t="str">
        <f>IF(Tabela_SP4[[#This Row],[sem10.forma]]&lt;&gt;"",Tabela_SP4[[#This Row],[sem10.forma]],"")</f>
        <v/>
      </c>
      <c r="AN138" s="186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38" s="187">
        <f>IF(ISERR(SEARCH("UP",Tabela_SP4_nst[[#This Row],[Umiej.prakt.]],1)),0,Tabela_SP4_nst[[#This Row],[ects.razem]])</f>
        <v>0</v>
      </c>
      <c r="AP138" s="188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38" s="310">
        <f>SUM(Tabela_SP4_nst[[#This Row],[godziny.samoksztalcenie]],Tabela_SP4_nst[[#This Row],[godziny.konsultacja]],Tabela_SP4_nst[[#This Row],[godziny.egzamin]],Tabela_SP4_nst[[#This Row],[godziny.zajec.razem]])</f>
        <v>0</v>
      </c>
      <c r="AR138" s="311">
        <f>Tabela_SP4[[#This Row],[godziny.samoksztalcenie]]+(Tabela_SP4[[#This Row],[godziny.zajec.razem]]-Tabela_SP4_nst[[#This Row],[godziny.zajec.razem]])</f>
        <v>0</v>
      </c>
      <c r="AS138" s="189">
        <f>Tabela_SP4[[#This Row],[godziny.konsultacja]]</f>
        <v>0</v>
      </c>
      <c r="AT138" s="179">
        <f>Tabela_SP4[[#This Row],[godziny.egzamin]]</f>
        <v>0</v>
      </c>
      <c r="AU138" s="190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38" s="334">
        <f>IF(Tabela_SP4_nst[[#This Row],[ects.bezposr.nauczyciel]],Tabela_SP4_nst[[#This Row],[ects.bezposr.nauczyciel]]/Tabela_SP4_nst[[#This Row],[ects.razem]],0)</f>
        <v>0</v>
      </c>
      <c r="AW138" s="207"/>
    </row>
    <row r="139" spans="1:49" ht="25.5" hidden="1" customHeight="1" x14ac:dyDescent="0.3">
      <c r="A139" s="207"/>
      <c r="B139" s="333" t="str">
        <f>IF(Tabela_SP4[[#This Row],[kod.isced]]&lt;&gt;"",Tabela_SP4[[#This Row],[kod.isced]],"")</f>
        <v/>
      </c>
      <c r="C139" s="193" t="str">
        <f>IF(Tabela_SP4[[#This Row],[kod.dziedziny]]&lt;&gt;"",Tabela_SP4[[#This Row],[kod.dziedziny]],"")</f>
        <v/>
      </c>
      <c r="D139" s="193" t="str">
        <f>IF(Tabela_SP4[[#This Row],[Modul]]&lt;&gt;"",Tabela_SP4[[#This Row],[Modul]],"")</f>
        <v/>
      </c>
      <c r="E139" s="193" t="str">
        <f>IF(Tabela_SP4[[#This Row],[Umiej.prakt.]]&lt;&gt;"",Tabela_SP4[[#This Row],[Umiej.prakt.]],"")</f>
        <v/>
      </c>
      <c r="F139" s="308" t="str">
        <f>IF(Tabela_SP4[[#This Row],[Nazwa przedmiotu]]&lt;&gt;"",Tabela_SP4[[#This Row],[Nazwa przedmiotu]],"")</f>
        <v/>
      </c>
      <c r="G139" s="309" t="str">
        <f>IF(Tabela_SP4[[#This Row],[Prowadzacy]]&lt;&gt;"",Tabela_SP4[[#This Row],[Prowadzacy]],"")</f>
        <v/>
      </c>
      <c r="H139" s="155" t="str">
        <f>IF(Tabela_SP4[[#This Row],[Forma]]&lt;&gt;"",Tabela_SP4[[#This Row],[Forma]],"")</f>
        <v/>
      </c>
      <c r="I139" s="156" t="str">
        <f>IF(Tabela_SP4[[#This Row],[czy.ects]]&lt;&gt;"",Tabela_SP4[[#This Row],[czy.ects]],"")</f>
        <v/>
      </c>
      <c r="J139" s="356" t="str" cm="1">
        <f t="array" ref="J139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39" s="356" t="str" cm="1">
        <f t="array" ref="K139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39" s="356" t="str">
        <f>IF(Tabela_SP4[[#This Row],[sem1.forma]]&lt;&gt;"",Tabela_SP4[[#This Row],[sem1.forma]],"")</f>
        <v/>
      </c>
      <c r="M139" s="357" t="str" cm="1">
        <f t="array" ref="M139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39" s="357" t="str" cm="1">
        <f t="array" ref="N139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39" s="357" t="str">
        <f>IF(Tabela_SP4[[#This Row],[sem2.forma]]&lt;&gt;"",Tabela_SP4[[#This Row],[sem2.forma]],"")</f>
        <v/>
      </c>
      <c r="P139" s="358" t="str" cm="1">
        <f t="array" ref="P139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39" s="359" t="str" cm="1">
        <f t="array" ref="Q139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39" s="358" t="str">
        <f>IF(Tabela_SP4[[#This Row],[sem3.forma]]&lt;&gt;"",Tabela_SP4[[#This Row],[sem3.forma]],"")</f>
        <v/>
      </c>
      <c r="S139" s="355" t="str" cm="1">
        <f t="array" ref="S139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39" s="355" t="str" cm="1">
        <f t="array" ref="T139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39" s="355" t="str">
        <f>IF(Tabela_SP4[[#This Row],[sem4.forma]]&lt;&gt;"",Tabela_SP4[[#This Row],[sem4.forma]],"")</f>
        <v/>
      </c>
      <c r="V139" s="180" t="str" cm="1">
        <f t="array" ref="V139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39" s="180" t="str" cm="1">
        <f t="array" ref="W139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39" s="180" t="str">
        <f>IF(Tabela_SP4[[#This Row],[sem5.forma]]&lt;&gt;"",Tabela_SP4[[#This Row],[sem5.forma]],"")</f>
        <v/>
      </c>
      <c r="Y139" s="181" t="str" cm="1">
        <f t="array" ref="Y139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39" s="181" t="str" cm="1">
        <f t="array" ref="Z139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39" s="181" t="str">
        <f>IF(Tabela_SP4[[#This Row],[sem6.forma]]&lt;&gt;"",Tabela_SP4[[#This Row],[sem6.forma]],"")</f>
        <v/>
      </c>
      <c r="AB139" s="182" t="str" cm="1">
        <f t="array" ref="AB139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39" s="182" t="str" cm="1">
        <f t="array" ref="AC139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39" s="182" t="str">
        <f>IF(Tabela_SP4[[#This Row],[sem7.forma]]&lt;&gt;"",Tabela_SP4[[#This Row],[sem7.forma]],"")</f>
        <v/>
      </c>
      <c r="AE139" s="183" t="str" cm="1">
        <f t="array" ref="AE139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39" s="183" t="str" cm="1">
        <f t="array" ref="AF139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39" s="183" t="str">
        <f>IF(Tabela_SP4[[#This Row],[sem8.forma]]&lt;&gt;"",Tabela_SP4[[#This Row],[sem8.forma]],"")</f>
        <v/>
      </c>
      <c r="AH139" s="184" t="str" cm="1">
        <f t="array" ref="AH139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39" s="184" t="str" cm="1">
        <f t="array" ref="AI139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39" s="184" t="str">
        <f>IF(Tabela_SP4[[#This Row],[sem9.forma]]&lt;&gt;"",Tabela_SP4[[#This Row],[sem9.forma]],"")</f>
        <v/>
      </c>
      <c r="AK139" s="185" t="str" cm="1">
        <f t="array" ref="AK139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39" s="185" t="str" cm="1">
        <f t="array" ref="AL139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39" s="185" t="str">
        <f>IF(Tabela_SP4[[#This Row],[sem10.forma]]&lt;&gt;"",Tabela_SP4[[#This Row],[sem10.forma]],"")</f>
        <v/>
      </c>
      <c r="AN139" s="186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39" s="187">
        <f>IF(ISERR(SEARCH("UP",Tabela_SP4_nst[[#This Row],[Umiej.prakt.]],1)),0,Tabela_SP4_nst[[#This Row],[ects.razem]])</f>
        <v>0</v>
      </c>
      <c r="AP139" s="188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39" s="310">
        <f>SUM(Tabela_SP4_nst[[#This Row],[godziny.samoksztalcenie]],Tabela_SP4_nst[[#This Row],[godziny.konsultacja]],Tabela_SP4_nst[[#This Row],[godziny.egzamin]],Tabela_SP4_nst[[#This Row],[godziny.zajec.razem]])</f>
        <v>0</v>
      </c>
      <c r="AR139" s="311">
        <f>Tabela_SP4[[#This Row],[godziny.samoksztalcenie]]+(Tabela_SP4[[#This Row],[godziny.zajec.razem]]-Tabela_SP4_nst[[#This Row],[godziny.zajec.razem]])</f>
        <v>0</v>
      </c>
      <c r="AS139" s="189">
        <f>Tabela_SP4[[#This Row],[godziny.konsultacja]]</f>
        <v>0</v>
      </c>
      <c r="AT139" s="179">
        <f>Tabela_SP4[[#This Row],[godziny.egzamin]]</f>
        <v>0</v>
      </c>
      <c r="AU139" s="190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39" s="334">
        <f>IF(Tabela_SP4_nst[[#This Row],[ects.bezposr.nauczyciel]],Tabela_SP4_nst[[#This Row],[ects.bezposr.nauczyciel]]/Tabela_SP4_nst[[#This Row],[ects.razem]],0)</f>
        <v>0</v>
      </c>
      <c r="AW139" s="207"/>
    </row>
    <row r="140" spans="1:49" ht="25.5" hidden="1" customHeight="1" x14ac:dyDescent="0.3">
      <c r="A140" s="207"/>
      <c r="B140" s="448" t="str">
        <f>IF(Tabela_SP4[[#This Row],[kod.isced]]&lt;&gt;"",Tabela_SP4[[#This Row],[kod.isced]],"")</f>
        <v/>
      </c>
      <c r="C140" s="437" t="str">
        <f>IF(Tabela_SP4[[#This Row],[kod.dziedziny]]&lt;&gt;"",Tabela_SP4[[#This Row],[kod.dziedziny]],"")</f>
        <v/>
      </c>
      <c r="D140" s="437" t="str">
        <f>IF(Tabela_SP4[[#This Row],[Modul]]&lt;&gt;"",Tabela_SP4[[#This Row],[Modul]],"")</f>
        <v/>
      </c>
      <c r="E140" s="437" t="str">
        <f>IF(Tabela_SP4[[#This Row],[Umiej.prakt.]]&lt;&gt;"",Tabela_SP4[[#This Row],[Umiej.prakt.]],"")</f>
        <v/>
      </c>
      <c r="F140" s="438" t="str">
        <f>IF(Tabela_SP4[[#This Row],[Nazwa przedmiotu]]&lt;&gt;"",Tabela_SP4[[#This Row],[Nazwa przedmiotu]],"")</f>
        <v/>
      </c>
      <c r="G140" s="439" t="str">
        <f>IF(Tabela_SP4[[#This Row],[Prowadzacy]]&lt;&gt;"",Tabela_SP4[[#This Row],[Prowadzacy]],"")</f>
        <v/>
      </c>
      <c r="H140" s="440" t="str">
        <f>IF(Tabela_SP4[[#This Row],[Forma]]&lt;&gt;"",Tabela_SP4[[#This Row],[Forma]],"")</f>
        <v/>
      </c>
      <c r="I140" s="441" t="str">
        <f>IF(Tabela_SP4[[#This Row],[czy.ects]]&lt;&gt;"",Tabela_SP4[[#This Row],[czy.ects]],"")</f>
        <v/>
      </c>
      <c r="J140" s="356" t="str" cm="1">
        <f t="array" ref="J140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0" s="356" t="str" cm="1">
        <f t="array" ref="K140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0" s="356" t="str">
        <f>IF(Tabela_SP4[[#This Row],[sem1.forma]]&lt;&gt;"",Tabela_SP4[[#This Row],[sem1.forma]],"")</f>
        <v/>
      </c>
      <c r="M140" s="357" t="str" cm="1">
        <f t="array" ref="M140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0" s="357" t="str" cm="1">
        <f t="array" ref="N140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0" s="357" t="str">
        <f>IF(Tabela_SP4[[#This Row],[sem2.forma]]&lt;&gt;"",Tabela_SP4[[#This Row],[sem2.forma]],"")</f>
        <v/>
      </c>
      <c r="P140" s="358" t="str" cm="1">
        <f t="array" ref="P140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0" s="359" t="str" cm="1">
        <f t="array" ref="Q140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0" s="358" t="str">
        <f>IF(Tabela_SP4[[#This Row],[sem3.forma]]&lt;&gt;"",Tabela_SP4[[#This Row],[sem3.forma]],"")</f>
        <v/>
      </c>
      <c r="S140" s="355" t="str" cm="1">
        <f t="array" ref="S140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0" s="355" t="str" cm="1">
        <f t="array" ref="T140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0" s="355" t="str">
        <f>IF(Tabela_SP4[[#This Row],[sem4.forma]]&lt;&gt;"",Tabela_SP4[[#This Row],[sem4.forma]],"")</f>
        <v/>
      </c>
      <c r="V140" s="180" t="str" cm="1">
        <f t="array" ref="V140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0" s="180" t="str" cm="1">
        <f t="array" ref="W140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0" s="180" t="str">
        <f>IF(Tabela_SP4[[#This Row],[sem5.forma]]&lt;&gt;"",Tabela_SP4[[#This Row],[sem5.forma]],"")</f>
        <v/>
      </c>
      <c r="Y140" s="181" t="str" cm="1">
        <f t="array" ref="Y140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0" s="181" t="str" cm="1">
        <f t="array" ref="Z140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0" s="181" t="str">
        <f>IF(Tabela_SP4[[#This Row],[sem6.forma]]&lt;&gt;"",Tabela_SP4[[#This Row],[sem6.forma]],"")</f>
        <v/>
      </c>
      <c r="AB140" s="182" t="str" cm="1">
        <f t="array" ref="AB140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0" s="182" t="str" cm="1">
        <f t="array" ref="AC140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0" s="182" t="str">
        <f>IF(Tabela_SP4[[#This Row],[sem7.forma]]&lt;&gt;"",Tabela_SP4[[#This Row],[sem7.forma]],"")</f>
        <v/>
      </c>
      <c r="AE140" s="183" t="str" cm="1">
        <f t="array" ref="AE140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0" s="183" t="str" cm="1">
        <f t="array" ref="AF140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0" s="183" t="str">
        <f>IF(Tabela_SP4[[#This Row],[sem8.forma]]&lt;&gt;"",Tabela_SP4[[#This Row],[sem8.forma]],"")</f>
        <v/>
      </c>
      <c r="AH140" s="184" t="str" cm="1">
        <f t="array" ref="AH140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0" s="184" t="str" cm="1">
        <f t="array" ref="AI140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0" s="184" t="str">
        <f>IF(Tabela_SP4[[#This Row],[sem9.forma]]&lt;&gt;"",Tabela_SP4[[#This Row],[sem9.forma]],"")</f>
        <v/>
      </c>
      <c r="AK140" s="185" t="str" cm="1">
        <f t="array" ref="AK140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0" s="185" t="str" cm="1">
        <f t="array" ref="AL140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0" s="185" t="str">
        <f>IF(Tabela_SP4[[#This Row],[sem10.forma]]&lt;&gt;"",Tabela_SP4[[#This Row],[sem10.forma]],"")</f>
        <v/>
      </c>
      <c r="AN140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0" s="449">
        <f>IF(ISERR(SEARCH("UP",Tabela_SP4_nst[[#This Row],[Umiej.prakt.]],1)),0,Tabela_SP4_nst[[#This Row],[ects.razem]])</f>
        <v>0</v>
      </c>
      <c r="AP140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0" s="451">
        <f>SUM(Tabela_SP4_nst[[#This Row],[godziny.samoksztalcenie]],Tabela_SP4_nst[[#This Row],[godziny.konsultacja]],Tabela_SP4_nst[[#This Row],[godziny.egzamin]],Tabela_SP4_nst[[#This Row],[godziny.zajec.razem]])</f>
        <v>0</v>
      </c>
      <c r="AR140" s="452">
        <f>Tabela_SP4[[#This Row],[godziny.samoksztalcenie]]+(Tabela_SP4[[#This Row],[godziny.zajec.razem]]-Tabela_SP4_nst[[#This Row],[godziny.zajec.razem]])</f>
        <v>0</v>
      </c>
      <c r="AS140" s="453">
        <f>Tabela_SP4[[#This Row],[godziny.konsultacja]]</f>
        <v>0</v>
      </c>
      <c r="AT140" s="369">
        <f>Tabela_SP4[[#This Row],[godziny.egzamin]]</f>
        <v>0</v>
      </c>
      <c r="AU140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0" s="455">
        <f>IF(Tabela_SP4_nst[[#This Row],[ects.bezposr.nauczyciel]],Tabela_SP4_nst[[#This Row],[ects.bezposr.nauczyciel]]/Tabela_SP4_nst[[#This Row],[ects.razem]],0)</f>
        <v>0</v>
      </c>
      <c r="AW140" s="207"/>
    </row>
    <row r="141" spans="1:49" ht="25.5" hidden="1" customHeight="1" x14ac:dyDescent="0.3">
      <c r="A141" s="207"/>
      <c r="B141" s="448" t="str">
        <f>IF(Tabela_SP4[[#This Row],[kod.isced]]&lt;&gt;"",Tabela_SP4[[#This Row],[kod.isced]],"")</f>
        <v/>
      </c>
      <c r="C141" s="437" t="str">
        <f>IF(Tabela_SP4[[#This Row],[kod.dziedziny]]&lt;&gt;"",Tabela_SP4[[#This Row],[kod.dziedziny]],"")</f>
        <v/>
      </c>
      <c r="D141" s="437" t="str">
        <f>IF(Tabela_SP4[[#This Row],[Modul]]&lt;&gt;"",Tabela_SP4[[#This Row],[Modul]],"")</f>
        <v/>
      </c>
      <c r="E141" s="437" t="str">
        <f>IF(Tabela_SP4[[#This Row],[Umiej.prakt.]]&lt;&gt;"",Tabela_SP4[[#This Row],[Umiej.prakt.]],"")</f>
        <v/>
      </c>
      <c r="F141" s="438" t="str">
        <f>IF(Tabela_SP4[[#This Row],[Nazwa przedmiotu]]&lt;&gt;"",Tabela_SP4[[#This Row],[Nazwa przedmiotu]],"")</f>
        <v/>
      </c>
      <c r="G141" s="439" t="str">
        <f>IF(Tabela_SP4[[#This Row],[Prowadzacy]]&lt;&gt;"",Tabela_SP4[[#This Row],[Prowadzacy]],"")</f>
        <v/>
      </c>
      <c r="H141" s="440" t="str">
        <f>IF(Tabela_SP4[[#This Row],[Forma]]&lt;&gt;"",Tabela_SP4[[#This Row],[Forma]],"")</f>
        <v/>
      </c>
      <c r="I141" s="441" t="str">
        <f>IF(Tabela_SP4[[#This Row],[czy.ects]]&lt;&gt;"",Tabela_SP4[[#This Row],[czy.ects]],"")</f>
        <v/>
      </c>
      <c r="J141" s="356" t="str" cm="1">
        <f t="array" ref="J141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1" s="356" t="str" cm="1">
        <f t="array" ref="K141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1" s="356" t="str">
        <f>IF(Tabela_SP4[[#This Row],[sem1.forma]]&lt;&gt;"",Tabela_SP4[[#This Row],[sem1.forma]],"")</f>
        <v/>
      </c>
      <c r="M141" s="357" t="str" cm="1">
        <f t="array" ref="M141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1" s="357" t="str" cm="1">
        <f t="array" ref="N141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1" s="357" t="str">
        <f>IF(Tabela_SP4[[#This Row],[sem2.forma]]&lt;&gt;"",Tabela_SP4[[#This Row],[sem2.forma]],"")</f>
        <v/>
      </c>
      <c r="P141" s="358" t="str" cm="1">
        <f t="array" ref="P141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1" s="359" t="str" cm="1">
        <f t="array" ref="Q141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1" s="358" t="str">
        <f>IF(Tabela_SP4[[#This Row],[sem3.forma]]&lt;&gt;"",Tabela_SP4[[#This Row],[sem3.forma]],"")</f>
        <v/>
      </c>
      <c r="S141" s="355" t="str" cm="1">
        <f t="array" ref="S141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1" s="355" t="str" cm="1">
        <f t="array" ref="T141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1" s="355" t="str">
        <f>IF(Tabela_SP4[[#This Row],[sem4.forma]]&lt;&gt;"",Tabela_SP4[[#This Row],[sem4.forma]],"")</f>
        <v/>
      </c>
      <c r="V141" s="180" t="str" cm="1">
        <f t="array" ref="V141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1" s="180" t="str" cm="1">
        <f t="array" ref="W141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1" s="180" t="str">
        <f>IF(Tabela_SP4[[#This Row],[sem5.forma]]&lt;&gt;"",Tabela_SP4[[#This Row],[sem5.forma]],"")</f>
        <v/>
      </c>
      <c r="Y141" s="181" t="str" cm="1">
        <f t="array" ref="Y141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1" s="181" t="str" cm="1">
        <f t="array" ref="Z141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1" s="181" t="str">
        <f>IF(Tabela_SP4[[#This Row],[sem6.forma]]&lt;&gt;"",Tabela_SP4[[#This Row],[sem6.forma]],"")</f>
        <v/>
      </c>
      <c r="AB141" s="182" t="str" cm="1">
        <f t="array" ref="AB141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1" s="182" t="str" cm="1">
        <f t="array" ref="AC141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1" s="182" t="str">
        <f>IF(Tabela_SP4[[#This Row],[sem7.forma]]&lt;&gt;"",Tabela_SP4[[#This Row],[sem7.forma]],"")</f>
        <v/>
      </c>
      <c r="AE141" s="183" t="str" cm="1">
        <f t="array" ref="AE141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1" s="183" t="str" cm="1">
        <f t="array" ref="AF141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1" s="183" t="str">
        <f>IF(Tabela_SP4[[#This Row],[sem8.forma]]&lt;&gt;"",Tabela_SP4[[#This Row],[sem8.forma]],"")</f>
        <v/>
      </c>
      <c r="AH141" s="184" t="str" cm="1">
        <f t="array" ref="AH141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1" s="184" t="str" cm="1">
        <f t="array" ref="AI141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1" s="184" t="str">
        <f>IF(Tabela_SP4[[#This Row],[sem9.forma]]&lt;&gt;"",Tabela_SP4[[#This Row],[sem9.forma]],"")</f>
        <v/>
      </c>
      <c r="AK141" s="185" t="str" cm="1">
        <f t="array" ref="AK141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1" s="185" t="str" cm="1">
        <f t="array" ref="AL141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1" s="185" t="str">
        <f>IF(Tabela_SP4[[#This Row],[sem10.forma]]&lt;&gt;"",Tabela_SP4[[#This Row],[sem10.forma]],"")</f>
        <v/>
      </c>
      <c r="AN141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1" s="449">
        <f>IF(ISERR(SEARCH("UP",Tabela_SP4_nst[[#This Row],[Umiej.prakt.]],1)),0,Tabela_SP4_nst[[#This Row],[ects.razem]])</f>
        <v>0</v>
      </c>
      <c r="AP141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1" s="451">
        <f>SUM(Tabela_SP4_nst[[#This Row],[godziny.samoksztalcenie]],Tabela_SP4_nst[[#This Row],[godziny.konsultacja]],Tabela_SP4_nst[[#This Row],[godziny.egzamin]],Tabela_SP4_nst[[#This Row],[godziny.zajec.razem]])</f>
        <v>0</v>
      </c>
      <c r="AR141" s="452">
        <f>Tabela_SP4[[#This Row],[godziny.samoksztalcenie]]+(Tabela_SP4[[#This Row],[godziny.zajec.razem]]-Tabela_SP4_nst[[#This Row],[godziny.zajec.razem]])</f>
        <v>0</v>
      </c>
      <c r="AS141" s="453">
        <f>Tabela_SP4[[#This Row],[godziny.konsultacja]]</f>
        <v>0</v>
      </c>
      <c r="AT141" s="369">
        <f>Tabela_SP4[[#This Row],[godziny.egzamin]]</f>
        <v>0</v>
      </c>
      <c r="AU141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1" s="455">
        <f>IF(Tabela_SP4_nst[[#This Row],[ects.bezposr.nauczyciel]],Tabela_SP4_nst[[#This Row],[ects.bezposr.nauczyciel]]/Tabela_SP4_nst[[#This Row],[ects.razem]],0)</f>
        <v>0</v>
      </c>
      <c r="AW141" s="207"/>
    </row>
    <row r="142" spans="1:49" ht="25.5" hidden="1" customHeight="1" x14ac:dyDescent="0.3">
      <c r="A142" s="207"/>
      <c r="B142" s="448" t="str">
        <f>IF(Tabela_SP4[[#This Row],[kod.isced]]&lt;&gt;"",Tabela_SP4[[#This Row],[kod.isced]],"")</f>
        <v/>
      </c>
      <c r="C142" s="437" t="str">
        <f>IF(Tabela_SP4[[#This Row],[kod.dziedziny]]&lt;&gt;"",Tabela_SP4[[#This Row],[kod.dziedziny]],"")</f>
        <v/>
      </c>
      <c r="D142" s="437" t="str">
        <f>IF(Tabela_SP4[[#This Row],[Modul]]&lt;&gt;"",Tabela_SP4[[#This Row],[Modul]],"")</f>
        <v/>
      </c>
      <c r="E142" s="437" t="str">
        <f>IF(Tabela_SP4[[#This Row],[Umiej.prakt.]]&lt;&gt;"",Tabela_SP4[[#This Row],[Umiej.prakt.]],"")</f>
        <v/>
      </c>
      <c r="F142" s="438" t="str">
        <f>IF(Tabela_SP4[[#This Row],[Nazwa przedmiotu]]&lt;&gt;"",Tabela_SP4[[#This Row],[Nazwa przedmiotu]],"")</f>
        <v/>
      </c>
      <c r="G142" s="439" t="str">
        <f>IF(Tabela_SP4[[#This Row],[Prowadzacy]]&lt;&gt;"",Tabela_SP4[[#This Row],[Prowadzacy]],"")</f>
        <v/>
      </c>
      <c r="H142" s="440" t="str">
        <f>IF(Tabela_SP4[[#This Row],[Forma]]&lt;&gt;"",Tabela_SP4[[#This Row],[Forma]],"")</f>
        <v/>
      </c>
      <c r="I142" s="441" t="str">
        <f>IF(Tabela_SP4[[#This Row],[czy.ects]]&lt;&gt;"",Tabela_SP4[[#This Row],[czy.ects]],"")</f>
        <v/>
      </c>
      <c r="J142" s="356" t="str" cm="1">
        <f t="array" ref="J142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2" s="356" t="str" cm="1">
        <f t="array" ref="K142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2" s="356" t="str">
        <f>IF(Tabela_SP4[[#This Row],[sem1.forma]]&lt;&gt;"",Tabela_SP4[[#This Row],[sem1.forma]],"")</f>
        <v/>
      </c>
      <c r="M142" s="357" t="str" cm="1">
        <f t="array" ref="M142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2" s="357" t="str" cm="1">
        <f t="array" ref="N142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2" s="357" t="str">
        <f>IF(Tabela_SP4[[#This Row],[sem2.forma]]&lt;&gt;"",Tabela_SP4[[#This Row],[sem2.forma]],"")</f>
        <v/>
      </c>
      <c r="P142" s="358" t="str" cm="1">
        <f t="array" ref="P142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2" s="359" t="str" cm="1">
        <f t="array" ref="Q142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2" s="358" t="str">
        <f>IF(Tabela_SP4[[#This Row],[sem3.forma]]&lt;&gt;"",Tabela_SP4[[#This Row],[sem3.forma]],"")</f>
        <v/>
      </c>
      <c r="S142" s="355" t="str" cm="1">
        <f t="array" ref="S142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2" s="355" t="str" cm="1">
        <f t="array" ref="T142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2" s="355" t="str">
        <f>IF(Tabela_SP4[[#This Row],[sem4.forma]]&lt;&gt;"",Tabela_SP4[[#This Row],[sem4.forma]],"")</f>
        <v/>
      </c>
      <c r="V142" s="180" t="str" cm="1">
        <f t="array" ref="V142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2" s="180" t="str" cm="1">
        <f t="array" ref="W142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2" s="180" t="str">
        <f>IF(Tabela_SP4[[#This Row],[sem5.forma]]&lt;&gt;"",Tabela_SP4[[#This Row],[sem5.forma]],"")</f>
        <v/>
      </c>
      <c r="Y142" s="181" t="str" cm="1">
        <f t="array" ref="Y142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2" s="181" t="str" cm="1">
        <f t="array" ref="Z142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2" s="181" t="str">
        <f>IF(Tabela_SP4[[#This Row],[sem6.forma]]&lt;&gt;"",Tabela_SP4[[#This Row],[sem6.forma]],"")</f>
        <v/>
      </c>
      <c r="AB142" s="182" t="str" cm="1">
        <f t="array" ref="AB142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2" s="182" t="str" cm="1">
        <f t="array" ref="AC142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2" s="182" t="str">
        <f>IF(Tabela_SP4[[#This Row],[sem7.forma]]&lt;&gt;"",Tabela_SP4[[#This Row],[sem7.forma]],"")</f>
        <v/>
      </c>
      <c r="AE142" s="183" t="str" cm="1">
        <f t="array" ref="AE142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2" s="183" t="str" cm="1">
        <f t="array" ref="AF142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2" s="183" t="str">
        <f>IF(Tabela_SP4[[#This Row],[sem8.forma]]&lt;&gt;"",Tabela_SP4[[#This Row],[sem8.forma]],"")</f>
        <v/>
      </c>
      <c r="AH142" s="184" t="str" cm="1">
        <f t="array" ref="AH142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2" s="184" t="str" cm="1">
        <f t="array" ref="AI142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2" s="184" t="str">
        <f>IF(Tabela_SP4[[#This Row],[sem9.forma]]&lt;&gt;"",Tabela_SP4[[#This Row],[sem9.forma]],"")</f>
        <v/>
      </c>
      <c r="AK142" s="185" t="str" cm="1">
        <f t="array" ref="AK142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2" s="185" t="str" cm="1">
        <f t="array" ref="AL142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2" s="185" t="str">
        <f>IF(Tabela_SP4[[#This Row],[sem10.forma]]&lt;&gt;"",Tabela_SP4[[#This Row],[sem10.forma]],"")</f>
        <v/>
      </c>
      <c r="AN142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2" s="449">
        <f>IF(ISERR(SEARCH("UP",Tabela_SP4_nst[[#This Row],[Umiej.prakt.]],1)),0,Tabela_SP4_nst[[#This Row],[ects.razem]])</f>
        <v>0</v>
      </c>
      <c r="AP142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2" s="451">
        <f>SUM(Tabela_SP4_nst[[#This Row],[godziny.samoksztalcenie]],Tabela_SP4_nst[[#This Row],[godziny.konsultacja]],Tabela_SP4_nst[[#This Row],[godziny.egzamin]],Tabela_SP4_nst[[#This Row],[godziny.zajec.razem]])</f>
        <v>0</v>
      </c>
      <c r="AR142" s="452">
        <f>Tabela_SP4[[#This Row],[godziny.samoksztalcenie]]+(Tabela_SP4[[#This Row],[godziny.zajec.razem]]-Tabela_SP4_nst[[#This Row],[godziny.zajec.razem]])</f>
        <v>0</v>
      </c>
      <c r="AS142" s="453">
        <f>Tabela_SP4[[#This Row],[godziny.konsultacja]]</f>
        <v>0</v>
      </c>
      <c r="AT142" s="369">
        <f>Tabela_SP4[[#This Row],[godziny.egzamin]]</f>
        <v>0</v>
      </c>
      <c r="AU142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2" s="455">
        <f>IF(Tabela_SP4_nst[[#This Row],[ects.bezposr.nauczyciel]],Tabela_SP4_nst[[#This Row],[ects.bezposr.nauczyciel]]/Tabela_SP4_nst[[#This Row],[ects.razem]],0)</f>
        <v>0</v>
      </c>
      <c r="AW142" s="207"/>
    </row>
    <row r="143" spans="1:49" ht="25.5" hidden="1" customHeight="1" x14ac:dyDescent="0.3">
      <c r="A143" s="207"/>
      <c r="B143" s="448" t="str">
        <f>IF(Tabela_SP4[[#This Row],[kod.isced]]&lt;&gt;"",Tabela_SP4[[#This Row],[kod.isced]],"")</f>
        <v/>
      </c>
      <c r="C143" s="437" t="str">
        <f>IF(Tabela_SP4[[#This Row],[kod.dziedziny]]&lt;&gt;"",Tabela_SP4[[#This Row],[kod.dziedziny]],"")</f>
        <v/>
      </c>
      <c r="D143" s="437" t="str">
        <f>IF(Tabela_SP4[[#This Row],[Modul]]&lt;&gt;"",Tabela_SP4[[#This Row],[Modul]],"")</f>
        <v/>
      </c>
      <c r="E143" s="437" t="str">
        <f>IF(Tabela_SP4[[#This Row],[Umiej.prakt.]]&lt;&gt;"",Tabela_SP4[[#This Row],[Umiej.prakt.]],"")</f>
        <v/>
      </c>
      <c r="F143" s="438" t="str">
        <f>IF(Tabela_SP4[[#This Row],[Nazwa przedmiotu]]&lt;&gt;"",Tabela_SP4[[#This Row],[Nazwa przedmiotu]],"")</f>
        <v/>
      </c>
      <c r="G143" s="439" t="str">
        <f>IF(Tabela_SP4[[#This Row],[Prowadzacy]]&lt;&gt;"",Tabela_SP4[[#This Row],[Prowadzacy]],"")</f>
        <v/>
      </c>
      <c r="H143" s="440" t="str">
        <f>IF(Tabela_SP4[[#This Row],[Forma]]&lt;&gt;"",Tabela_SP4[[#This Row],[Forma]],"")</f>
        <v/>
      </c>
      <c r="I143" s="441" t="str">
        <f>IF(Tabela_SP4[[#This Row],[czy.ects]]&lt;&gt;"",Tabela_SP4[[#This Row],[czy.ects]],"")</f>
        <v/>
      </c>
      <c r="J143" s="356" t="str" cm="1">
        <f t="array" ref="J143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3" s="356" t="str" cm="1">
        <f t="array" ref="K143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3" s="356" t="str">
        <f>IF(Tabela_SP4[[#This Row],[sem1.forma]]&lt;&gt;"",Tabela_SP4[[#This Row],[sem1.forma]],"")</f>
        <v/>
      </c>
      <c r="M143" s="357" t="str" cm="1">
        <f t="array" ref="M143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3" s="357" t="str" cm="1">
        <f t="array" ref="N143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3" s="357" t="str">
        <f>IF(Tabela_SP4[[#This Row],[sem2.forma]]&lt;&gt;"",Tabela_SP4[[#This Row],[sem2.forma]],"")</f>
        <v/>
      </c>
      <c r="P143" s="358" t="str" cm="1">
        <f t="array" ref="P143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3" s="359" t="str" cm="1">
        <f t="array" ref="Q143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3" s="358" t="str">
        <f>IF(Tabela_SP4[[#This Row],[sem3.forma]]&lt;&gt;"",Tabela_SP4[[#This Row],[sem3.forma]],"")</f>
        <v/>
      </c>
      <c r="S143" s="355" t="str" cm="1">
        <f t="array" ref="S143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3" s="355" t="str" cm="1">
        <f t="array" ref="T143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3" s="355" t="str">
        <f>IF(Tabela_SP4[[#This Row],[sem4.forma]]&lt;&gt;"",Tabela_SP4[[#This Row],[sem4.forma]],"")</f>
        <v/>
      </c>
      <c r="V143" s="180" t="str" cm="1">
        <f t="array" ref="V143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3" s="180" t="str" cm="1">
        <f t="array" ref="W143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3" s="180" t="str">
        <f>IF(Tabela_SP4[[#This Row],[sem5.forma]]&lt;&gt;"",Tabela_SP4[[#This Row],[sem5.forma]],"")</f>
        <v/>
      </c>
      <c r="Y143" s="181" t="str" cm="1">
        <f t="array" ref="Y143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3" s="181" t="str" cm="1">
        <f t="array" ref="Z143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3" s="181" t="str">
        <f>IF(Tabela_SP4[[#This Row],[sem6.forma]]&lt;&gt;"",Tabela_SP4[[#This Row],[sem6.forma]],"")</f>
        <v/>
      </c>
      <c r="AB143" s="182" t="str" cm="1">
        <f t="array" ref="AB143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3" s="182" t="str" cm="1">
        <f t="array" ref="AC143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3" s="182" t="str">
        <f>IF(Tabela_SP4[[#This Row],[sem7.forma]]&lt;&gt;"",Tabela_SP4[[#This Row],[sem7.forma]],"")</f>
        <v/>
      </c>
      <c r="AE143" s="183" t="str" cm="1">
        <f t="array" ref="AE143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3" s="183" t="str" cm="1">
        <f t="array" ref="AF143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3" s="183" t="str">
        <f>IF(Tabela_SP4[[#This Row],[sem8.forma]]&lt;&gt;"",Tabela_SP4[[#This Row],[sem8.forma]],"")</f>
        <v/>
      </c>
      <c r="AH143" s="184" t="str" cm="1">
        <f t="array" ref="AH143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3" s="184" t="str" cm="1">
        <f t="array" ref="AI143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3" s="184" t="str">
        <f>IF(Tabela_SP4[[#This Row],[sem9.forma]]&lt;&gt;"",Tabela_SP4[[#This Row],[sem9.forma]],"")</f>
        <v/>
      </c>
      <c r="AK143" s="185" t="str" cm="1">
        <f t="array" ref="AK143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3" s="185" t="str" cm="1">
        <f t="array" ref="AL143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3" s="185" t="str">
        <f>IF(Tabela_SP4[[#This Row],[sem10.forma]]&lt;&gt;"",Tabela_SP4[[#This Row],[sem10.forma]],"")</f>
        <v/>
      </c>
      <c r="AN143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3" s="449">
        <f>IF(ISERR(SEARCH("UP",Tabela_SP4_nst[[#This Row],[Umiej.prakt.]],1)),0,Tabela_SP4_nst[[#This Row],[ects.razem]])</f>
        <v>0</v>
      </c>
      <c r="AP143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3" s="451">
        <f>SUM(Tabela_SP4_nst[[#This Row],[godziny.samoksztalcenie]],Tabela_SP4_nst[[#This Row],[godziny.konsultacja]],Tabela_SP4_nst[[#This Row],[godziny.egzamin]],Tabela_SP4_nst[[#This Row],[godziny.zajec.razem]])</f>
        <v>0</v>
      </c>
      <c r="AR143" s="452">
        <f>Tabela_SP4[[#This Row],[godziny.samoksztalcenie]]+(Tabela_SP4[[#This Row],[godziny.zajec.razem]]-Tabela_SP4_nst[[#This Row],[godziny.zajec.razem]])</f>
        <v>0</v>
      </c>
      <c r="AS143" s="453">
        <f>Tabela_SP4[[#This Row],[godziny.konsultacja]]</f>
        <v>0</v>
      </c>
      <c r="AT143" s="369">
        <f>Tabela_SP4[[#This Row],[godziny.egzamin]]</f>
        <v>0</v>
      </c>
      <c r="AU143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3" s="455">
        <f>IF(Tabela_SP4_nst[[#This Row],[ects.bezposr.nauczyciel]],Tabela_SP4_nst[[#This Row],[ects.bezposr.nauczyciel]]/Tabela_SP4_nst[[#This Row],[ects.razem]],0)</f>
        <v>0</v>
      </c>
      <c r="AW143" s="207"/>
    </row>
    <row r="144" spans="1:49" ht="25.5" hidden="1" customHeight="1" x14ac:dyDescent="0.3">
      <c r="A144" s="207"/>
      <c r="B144" s="448" t="str">
        <f>IF(Tabela_SP4[[#This Row],[kod.isced]]&lt;&gt;"",Tabela_SP4[[#This Row],[kod.isced]],"")</f>
        <v/>
      </c>
      <c r="C144" s="437" t="str">
        <f>IF(Tabela_SP4[[#This Row],[kod.dziedziny]]&lt;&gt;"",Tabela_SP4[[#This Row],[kod.dziedziny]],"")</f>
        <v/>
      </c>
      <c r="D144" s="437" t="str">
        <f>IF(Tabela_SP4[[#This Row],[Modul]]&lt;&gt;"",Tabela_SP4[[#This Row],[Modul]],"")</f>
        <v/>
      </c>
      <c r="E144" s="437" t="str">
        <f>IF(Tabela_SP4[[#This Row],[Umiej.prakt.]]&lt;&gt;"",Tabela_SP4[[#This Row],[Umiej.prakt.]],"")</f>
        <v/>
      </c>
      <c r="F144" s="438" t="str">
        <f>IF(Tabela_SP4[[#This Row],[Nazwa przedmiotu]]&lt;&gt;"",Tabela_SP4[[#This Row],[Nazwa przedmiotu]],"")</f>
        <v/>
      </c>
      <c r="G144" s="439" t="str">
        <f>IF(Tabela_SP4[[#This Row],[Prowadzacy]]&lt;&gt;"",Tabela_SP4[[#This Row],[Prowadzacy]],"")</f>
        <v/>
      </c>
      <c r="H144" s="440" t="str">
        <f>IF(Tabela_SP4[[#This Row],[Forma]]&lt;&gt;"",Tabela_SP4[[#This Row],[Forma]],"")</f>
        <v/>
      </c>
      <c r="I144" s="441" t="str">
        <f>IF(Tabela_SP4[[#This Row],[czy.ects]]&lt;&gt;"",Tabela_SP4[[#This Row],[czy.ects]],"")</f>
        <v/>
      </c>
      <c r="J144" s="356" t="str" cm="1">
        <f t="array" ref="J144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4" s="356" t="str" cm="1">
        <f t="array" ref="K144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4" s="356" t="str">
        <f>IF(Tabela_SP4[[#This Row],[sem1.forma]]&lt;&gt;"",Tabela_SP4[[#This Row],[sem1.forma]],"")</f>
        <v/>
      </c>
      <c r="M144" s="357" t="str" cm="1">
        <f t="array" ref="M144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4" s="357" t="str" cm="1">
        <f t="array" ref="N144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4" s="357" t="str">
        <f>IF(Tabela_SP4[[#This Row],[sem2.forma]]&lt;&gt;"",Tabela_SP4[[#This Row],[sem2.forma]],"")</f>
        <v/>
      </c>
      <c r="P144" s="358" t="str" cm="1">
        <f t="array" ref="P144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4" s="359" t="str" cm="1">
        <f t="array" ref="Q144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4" s="358" t="str">
        <f>IF(Tabela_SP4[[#This Row],[sem3.forma]]&lt;&gt;"",Tabela_SP4[[#This Row],[sem3.forma]],"")</f>
        <v/>
      </c>
      <c r="S144" s="355" t="str" cm="1">
        <f t="array" ref="S144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4" s="355" t="str" cm="1">
        <f t="array" ref="T144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4" s="355" t="str">
        <f>IF(Tabela_SP4[[#This Row],[sem4.forma]]&lt;&gt;"",Tabela_SP4[[#This Row],[sem4.forma]],"")</f>
        <v/>
      </c>
      <c r="V144" s="180" t="str" cm="1">
        <f t="array" ref="V144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4" s="180" t="str" cm="1">
        <f t="array" ref="W144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4" s="180" t="str">
        <f>IF(Tabela_SP4[[#This Row],[sem5.forma]]&lt;&gt;"",Tabela_SP4[[#This Row],[sem5.forma]],"")</f>
        <v/>
      </c>
      <c r="Y144" s="181" t="str" cm="1">
        <f t="array" ref="Y144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4" s="181" t="str" cm="1">
        <f t="array" ref="Z144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4" s="181" t="str">
        <f>IF(Tabela_SP4[[#This Row],[sem6.forma]]&lt;&gt;"",Tabela_SP4[[#This Row],[sem6.forma]],"")</f>
        <v/>
      </c>
      <c r="AB144" s="182" t="str" cm="1">
        <f t="array" ref="AB144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4" s="182" t="str" cm="1">
        <f t="array" ref="AC144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4" s="182" t="str">
        <f>IF(Tabela_SP4[[#This Row],[sem7.forma]]&lt;&gt;"",Tabela_SP4[[#This Row],[sem7.forma]],"")</f>
        <v/>
      </c>
      <c r="AE144" s="183" t="str" cm="1">
        <f t="array" ref="AE144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4" s="183" t="str" cm="1">
        <f t="array" ref="AF144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4" s="183" t="str">
        <f>IF(Tabela_SP4[[#This Row],[sem8.forma]]&lt;&gt;"",Tabela_SP4[[#This Row],[sem8.forma]],"")</f>
        <v/>
      </c>
      <c r="AH144" s="184" t="str" cm="1">
        <f t="array" ref="AH144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4" s="184" t="str" cm="1">
        <f t="array" ref="AI144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4" s="184" t="str">
        <f>IF(Tabela_SP4[[#This Row],[sem9.forma]]&lt;&gt;"",Tabela_SP4[[#This Row],[sem9.forma]],"")</f>
        <v/>
      </c>
      <c r="AK144" s="185" t="str" cm="1">
        <f t="array" ref="AK144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4" s="185" t="str" cm="1">
        <f t="array" ref="AL144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4" s="185" t="str">
        <f>IF(Tabela_SP4[[#This Row],[sem10.forma]]&lt;&gt;"",Tabela_SP4[[#This Row],[sem10.forma]],"")</f>
        <v/>
      </c>
      <c r="AN144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4" s="449">
        <f>IF(ISERR(SEARCH("UP",Tabela_SP4_nst[[#This Row],[Umiej.prakt.]],1)),0,Tabela_SP4_nst[[#This Row],[ects.razem]])</f>
        <v>0</v>
      </c>
      <c r="AP144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4" s="451">
        <f>SUM(Tabela_SP4_nst[[#This Row],[godziny.samoksztalcenie]],Tabela_SP4_nst[[#This Row],[godziny.konsultacja]],Tabela_SP4_nst[[#This Row],[godziny.egzamin]],Tabela_SP4_nst[[#This Row],[godziny.zajec.razem]])</f>
        <v>0</v>
      </c>
      <c r="AR144" s="452">
        <f>Tabela_SP4[[#This Row],[godziny.samoksztalcenie]]+(Tabela_SP4[[#This Row],[godziny.zajec.razem]]-Tabela_SP4_nst[[#This Row],[godziny.zajec.razem]])</f>
        <v>0</v>
      </c>
      <c r="AS144" s="453">
        <f>Tabela_SP4[[#This Row],[godziny.konsultacja]]</f>
        <v>0</v>
      </c>
      <c r="AT144" s="369">
        <f>Tabela_SP4[[#This Row],[godziny.egzamin]]</f>
        <v>0</v>
      </c>
      <c r="AU144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4" s="455">
        <f>IF(Tabela_SP4_nst[[#This Row],[ects.bezposr.nauczyciel]],Tabela_SP4_nst[[#This Row],[ects.bezposr.nauczyciel]]/Tabela_SP4_nst[[#This Row],[ects.razem]],0)</f>
        <v>0</v>
      </c>
      <c r="AW144" s="207"/>
    </row>
    <row r="145" spans="1:49" ht="25.5" hidden="1" customHeight="1" x14ac:dyDescent="0.3">
      <c r="A145" s="207"/>
      <c r="B145" s="448" t="str">
        <f>IF(Tabela_SP4[[#This Row],[kod.isced]]&lt;&gt;"",Tabela_SP4[[#This Row],[kod.isced]],"")</f>
        <v/>
      </c>
      <c r="C145" s="437" t="str">
        <f>IF(Tabela_SP4[[#This Row],[kod.dziedziny]]&lt;&gt;"",Tabela_SP4[[#This Row],[kod.dziedziny]],"")</f>
        <v/>
      </c>
      <c r="D145" s="437" t="str">
        <f>IF(Tabela_SP4[[#This Row],[Modul]]&lt;&gt;"",Tabela_SP4[[#This Row],[Modul]],"")</f>
        <v/>
      </c>
      <c r="E145" s="437" t="str">
        <f>IF(Tabela_SP4[[#This Row],[Umiej.prakt.]]&lt;&gt;"",Tabela_SP4[[#This Row],[Umiej.prakt.]],"")</f>
        <v/>
      </c>
      <c r="F145" s="438" t="str">
        <f>IF(Tabela_SP4[[#This Row],[Nazwa przedmiotu]]&lt;&gt;"",Tabela_SP4[[#This Row],[Nazwa przedmiotu]],"")</f>
        <v/>
      </c>
      <c r="G145" s="439" t="str">
        <f>IF(Tabela_SP4[[#This Row],[Prowadzacy]]&lt;&gt;"",Tabela_SP4[[#This Row],[Prowadzacy]],"")</f>
        <v/>
      </c>
      <c r="H145" s="440" t="str">
        <f>IF(Tabela_SP4[[#This Row],[Forma]]&lt;&gt;"",Tabela_SP4[[#This Row],[Forma]],"")</f>
        <v/>
      </c>
      <c r="I145" s="441" t="str">
        <f>IF(Tabela_SP4[[#This Row],[czy.ects]]&lt;&gt;"",Tabela_SP4[[#This Row],[czy.ects]],"")</f>
        <v/>
      </c>
      <c r="J145" s="356" t="str" cm="1">
        <f t="array" ref="J145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5" s="356" t="str" cm="1">
        <f t="array" ref="K145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5" s="356" t="str">
        <f>IF(Tabela_SP4[[#This Row],[sem1.forma]]&lt;&gt;"",Tabela_SP4[[#This Row],[sem1.forma]],"")</f>
        <v/>
      </c>
      <c r="M145" s="357" t="str" cm="1">
        <f t="array" ref="M145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5" s="357" t="str" cm="1">
        <f t="array" ref="N145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5" s="357" t="str">
        <f>IF(Tabela_SP4[[#This Row],[sem2.forma]]&lt;&gt;"",Tabela_SP4[[#This Row],[sem2.forma]],"")</f>
        <v/>
      </c>
      <c r="P145" s="358" t="str" cm="1">
        <f t="array" ref="P145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5" s="359" t="str" cm="1">
        <f t="array" ref="Q145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5" s="358" t="str">
        <f>IF(Tabela_SP4[[#This Row],[sem3.forma]]&lt;&gt;"",Tabela_SP4[[#This Row],[sem3.forma]],"")</f>
        <v/>
      </c>
      <c r="S145" s="355" t="str" cm="1">
        <f t="array" ref="S145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5" s="355" t="str" cm="1">
        <f t="array" ref="T145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5" s="355" t="str">
        <f>IF(Tabela_SP4[[#This Row],[sem4.forma]]&lt;&gt;"",Tabela_SP4[[#This Row],[sem4.forma]],"")</f>
        <v/>
      </c>
      <c r="V145" s="180" t="str" cm="1">
        <f t="array" ref="V145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5" s="180" t="str" cm="1">
        <f t="array" ref="W145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5" s="180" t="str">
        <f>IF(Tabela_SP4[[#This Row],[sem5.forma]]&lt;&gt;"",Tabela_SP4[[#This Row],[sem5.forma]],"")</f>
        <v/>
      </c>
      <c r="Y145" s="181" t="str" cm="1">
        <f t="array" ref="Y145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5" s="181" t="str" cm="1">
        <f t="array" ref="Z145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5" s="181" t="str">
        <f>IF(Tabela_SP4[[#This Row],[sem6.forma]]&lt;&gt;"",Tabela_SP4[[#This Row],[sem6.forma]],"")</f>
        <v/>
      </c>
      <c r="AB145" s="182" t="str" cm="1">
        <f t="array" ref="AB145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5" s="182" t="str" cm="1">
        <f t="array" ref="AC145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5" s="182" t="str">
        <f>IF(Tabela_SP4[[#This Row],[sem7.forma]]&lt;&gt;"",Tabela_SP4[[#This Row],[sem7.forma]],"")</f>
        <v/>
      </c>
      <c r="AE145" s="183" t="str" cm="1">
        <f t="array" ref="AE145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5" s="183" t="str" cm="1">
        <f t="array" ref="AF145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5" s="183" t="str">
        <f>IF(Tabela_SP4[[#This Row],[sem8.forma]]&lt;&gt;"",Tabela_SP4[[#This Row],[sem8.forma]],"")</f>
        <v/>
      </c>
      <c r="AH145" s="184" t="str" cm="1">
        <f t="array" ref="AH145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5" s="184" t="str" cm="1">
        <f t="array" ref="AI145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5" s="184" t="str">
        <f>IF(Tabela_SP4[[#This Row],[sem9.forma]]&lt;&gt;"",Tabela_SP4[[#This Row],[sem9.forma]],"")</f>
        <v/>
      </c>
      <c r="AK145" s="185" t="str" cm="1">
        <f t="array" ref="AK145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5" s="185" t="str" cm="1">
        <f t="array" ref="AL145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5" s="185" t="str">
        <f>IF(Tabela_SP4[[#This Row],[sem10.forma]]&lt;&gt;"",Tabela_SP4[[#This Row],[sem10.forma]],"")</f>
        <v/>
      </c>
      <c r="AN145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5" s="449">
        <f>IF(ISERR(SEARCH("UP",Tabela_SP4_nst[[#This Row],[Umiej.prakt.]],1)),0,Tabela_SP4_nst[[#This Row],[ects.razem]])</f>
        <v>0</v>
      </c>
      <c r="AP145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5" s="451">
        <f>SUM(Tabela_SP4_nst[[#This Row],[godziny.samoksztalcenie]],Tabela_SP4_nst[[#This Row],[godziny.konsultacja]],Tabela_SP4_nst[[#This Row],[godziny.egzamin]],Tabela_SP4_nst[[#This Row],[godziny.zajec.razem]])</f>
        <v>0</v>
      </c>
      <c r="AR145" s="452">
        <f>Tabela_SP4[[#This Row],[godziny.samoksztalcenie]]+(Tabela_SP4[[#This Row],[godziny.zajec.razem]]-Tabela_SP4_nst[[#This Row],[godziny.zajec.razem]])</f>
        <v>0</v>
      </c>
      <c r="AS145" s="453">
        <f>Tabela_SP4[[#This Row],[godziny.konsultacja]]</f>
        <v>0</v>
      </c>
      <c r="AT145" s="369">
        <f>Tabela_SP4[[#This Row],[godziny.egzamin]]</f>
        <v>0</v>
      </c>
      <c r="AU145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5" s="455">
        <f>IF(Tabela_SP4_nst[[#This Row],[ects.bezposr.nauczyciel]],Tabela_SP4_nst[[#This Row],[ects.bezposr.nauczyciel]]/Tabela_SP4_nst[[#This Row],[ects.razem]],0)</f>
        <v>0</v>
      </c>
      <c r="AW145" s="207"/>
    </row>
    <row r="146" spans="1:49" ht="25.5" hidden="1" customHeight="1" x14ac:dyDescent="0.3">
      <c r="A146" s="207"/>
      <c r="B146" s="448" t="str">
        <f>IF(Tabela_SP4[[#This Row],[kod.isced]]&lt;&gt;"",Tabela_SP4[[#This Row],[kod.isced]],"")</f>
        <v/>
      </c>
      <c r="C146" s="437" t="str">
        <f>IF(Tabela_SP4[[#This Row],[kod.dziedziny]]&lt;&gt;"",Tabela_SP4[[#This Row],[kod.dziedziny]],"")</f>
        <v/>
      </c>
      <c r="D146" s="437" t="str">
        <f>IF(Tabela_SP4[[#This Row],[Modul]]&lt;&gt;"",Tabela_SP4[[#This Row],[Modul]],"")</f>
        <v/>
      </c>
      <c r="E146" s="437" t="str">
        <f>IF(Tabela_SP4[[#This Row],[Umiej.prakt.]]&lt;&gt;"",Tabela_SP4[[#This Row],[Umiej.prakt.]],"")</f>
        <v/>
      </c>
      <c r="F146" s="438" t="str">
        <f>IF(Tabela_SP4[[#This Row],[Nazwa przedmiotu]]&lt;&gt;"",Tabela_SP4[[#This Row],[Nazwa przedmiotu]],"")</f>
        <v/>
      </c>
      <c r="G146" s="439" t="str">
        <f>IF(Tabela_SP4[[#This Row],[Prowadzacy]]&lt;&gt;"",Tabela_SP4[[#This Row],[Prowadzacy]],"")</f>
        <v/>
      </c>
      <c r="H146" s="440" t="str">
        <f>IF(Tabela_SP4[[#This Row],[Forma]]&lt;&gt;"",Tabela_SP4[[#This Row],[Forma]],"")</f>
        <v/>
      </c>
      <c r="I146" s="441" t="str">
        <f>IF(Tabela_SP4[[#This Row],[czy.ects]]&lt;&gt;"",Tabela_SP4[[#This Row],[czy.ects]],"")</f>
        <v/>
      </c>
      <c r="J146" s="356" t="str" cm="1">
        <f t="array" ref="J146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6" s="356" t="str" cm="1">
        <f t="array" ref="K146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6" s="356" t="str">
        <f>IF(Tabela_SP4[[#This Row],[sem1.forma]]&lt;&gt;"",Tabela_SP4[[#This Row],[sem1.forma]],"")</f>
        <v/>
      </c>
      <c r="M146" s="357" t="str" cm="1">
        <f t="array" ref="M146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6" s="357" t="str" cm="1">
        <f t="array" ref="N146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6" s="357" t="str">
        <f>IF(Tabela_SP4[[#This Row],[sem2.forma]]&lt;&gt;"",Tabela_SP4[[#This Row],[sem2.forma]],"")</f>
        <v/>
      </c>
      <c r="P146" s="358" t="str" cm="1">
        <f t="array" ref="P146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6" s="359" t="str" cm="1">
        <f t="array" ref="Q146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6" s="358" t="str">
        <f>IF(Tabela_SP4[[#This Row],[sem3.forma]]&lt;&gt;"",Tabela_SP4[[#This Row],[sem3.forma]],"")</f>
        <v/>
      </c>
      <c r="S146" s="355" t="str" cm="1">
        <f t="array" ref="S146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6" s="355" t="str" cm="1">
        <f t="array" ref="T146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6" s="355" t="str">
        <f>IF(Tabela_SP4[[#This Row],[sem4.forma]]&lt;&gt;"",Tabela_SP4[[#This Row],[sem4.forma]],"")</f>
        <v/>
      </c>
      <c r="V146" s="180" t="str" cm="1">
        <f t="array" ref="V146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6" s="180" t="str" cm="1">
        <f t="array" ref="W146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6" s="180" t="str">
        <f>IF(Tabela_SP4[[#This Row],[sem5.forma]]&lt;&gt;"",Tabela_SP4[[#This Row],[sem5.forma]],"")</f>
        <v/>
      </c>
      <c r="Y146" s="181" t="str" cm="1">
        <f t="array" ref="Y146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6" s="181" t="str" cm="1">
        <f t="array" ref="Z146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6" s="181" t="str">
        <f>IF(Tabela_SP4[[#This Row],[sem6.forma]]&lt;&gt;"",Tabela_SP4[[#This Row],[sem6.forma]],"")</f>
        <v/>
      </c>
      <c r="AB146" s="182" t="str" cm="1">
        <f t="array" ref="AB146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6" s="182" t="str" cm="1">
        <f t="array" ref="AC146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6" s="182" t="str">
        <f>IF(Tabela_SP4[[#This Row],[sem7.forma]]&lt;&gt;"",Tabela_SP4[[#This Row],[sem7.forma]],"")</f>
        <v/>
      </c>
      <c r="AE146" s="183" t="str" cm="1">
        <f t="array" ref="AE146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6" s="183" t="str" cm="1">
        <f t="array" ref="AF146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6" s="183" t="str">
        <f>IF(Tabela_SP4[[#This Row],[sem8.forma]]&lt;&gt;"",Tabela_SP4[[#This Row],[sem8.forma]],"")</f>
        <v/>
      </c>
      <c r="AH146" s="184" t="str" cm="1">
        <f t="array" ref="AH146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6" s="184" t="str" cm="1">
        <f t="array" ref="AI146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6" s="184" t="str">
        <f>IF(Tabela_SP4[[#This Row],[sem9.forma]]&lt;&gt;"",Tabela_SP4[[#This Row],[sem9.forma]],"")</f>
        <v/>
      </c>
      <c r="AK146" s="185" t="str" cm="1">
        <f t="array" ref="AK146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6" s="185" t="str" cm="1">
        <f t="array" ref="AL146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6" s="185" t="str">
        <f>IF(Tabela_SP4[[#This Row],[sem10.forma]]&lt;&gt;"",Tabela_SP4[[#This Row],[sem10.forma]],"")</f>
        <v/>
      </c>
      <c r="AN146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6" s="449">
        <f>IF(ISERR(SEARCH("UP",Tabela_SP4_nst[[#This Row],[Umiej.prakt.]],1)),0,Tabela_SP4_nst[[#This Row],[ects.razem]])</f>
        <v>0</v>
      </c>
      <c r="AP146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6" s="451">
        <f>SUM(Tabela_SP4_nst[[#This Row],[godziny.samoksztalcenie]],Tabela_SP4_nst[[#This Row],[godziny.konsultacja]],Tabela_SP4_nst[[#This Row],[godziny.egzamin]],Tabela_SP4_nst[[#This Row],[godziny.zajec.razem]])</f>
        <v>0</v>
      </c>
      <c r="AR146" s="452">
        <f>Tabela_SP4[[#This Row],[godziny.samoksztalcenie]]+(Tabela_SP4[[#This Row],[godziny.zajec.razem]]-Tabela_SP4_nst[[#This Row],[godziny.zajec.razem]])</f>
        <v>0</v>
      </c>
      <c r="AS146" s="453">
        <f>Tabela_SP4[[#This Row],[godziny.konsultacja]]</f>
        <v>0</v>
      </c>
      <c r="AT146" s="369">
        <f>Tabela_SP4[[#This Row],[godziny.egzamin]]</f>
        <v>0</v>
      </c>
      <c r="AU146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6" s="455">
        <f>IF(Tabela_SP4_nst[[#This Row],[ects.bezposr.nauczyciel]],Tabela_SP4_nst[[#This Row],[ects.bezposr.nauczyciel]]/Tabela_SP4_nst[[#This Row],[ects.razem]],0)</f>
        <v>0</v>
      </c>
      <c r="AW146" s="207"/>
    </row>
    <row r="147" spans="1:49" ht="25.5" hidden="1" customHeight="1" x14ac:dyDescent="0.3">
      <c r="A147" s="207"/>
      <c r="B147" s="448" t="str">
        <f>IF(Tabela_SP4[[#This Row],[kod.isced]]&lt;&gt;"",Tabela_SP4[[#This Row],[kod.isced]],"")</f>
        <v/>
      </c>
      <c r="C147" s="437" t="str">
        <f>IF(Tabela_SP4[[#This Row],[kod.dziedziny]]&lt;&gt;"",Tabela_SP4[[#This Row],[kod.dziedziny]],"")</f>
        <v/>
      </c>
      <c r="D147" s="437" t="str">
        <f>IF(Tabela_SP4[[#This Row],[Modul]]&lt;&gt;"",Tabela_SP4[[#This Row],[Modul]],"")</f>
        <v/>
      </c>
      <c r="E147" s="437" t="str">
        <f>IF(Tabela_SP4[[#This Row],[Umiej.prakt.]]&lt;&gt;"",Tabela_SP4[[#This Row],[Umiej.prakt.]],"")</f>
        <v/>
      </c>
      <c r="F147" s="438" t="str">
        <f>IF(Tabela_SP4[[#This Row],[Nazwa przedmiotu]]&lt;&gt;"",Tabela_SP4[[#This Row],[Nazwa przedmiotu]],"")</f>
        <v/>
      </c>
      <c r="G147" s="439" t="str">
        <f>IF(Tabela_SP4[[#This Row],[Prowadzacy]]&lt;&gt;"",Tabela_SP4[[#This Row],[Prowadzacy]],"")</f>
        <v/>
      </c>
      <c r="H147" s="440" t="str">
        <f>IF(Tabela_SP4[[#This Row],[Forma]]&lt;&gt;"",Tabela_SP4[[#This Row],[Forma]],"")</f>
        <v/>
      </c>
      <c r="I147" s="441" t="str">
        <f>IF(Tabela_SP4[[#This Row],[czy.ects]]&lt;&gt;"",Tabela_SP4[[#This Row],[czy.ects]],"")</f>
        <v/>
      </c>
      <c r="J147" s="356" t="str" cm="1">
        <f t="array" ref="J147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7" s="356" t="str" cm="1">
        <f t="array" ref="K147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7" s="356" t="str">
        <f>IF(Tabela_SP4[[#This Row],[sem1.forma]]&lt;&gt;"",Tabela_SP4[[#This Row],[sem1.forma]],"")</f>
        <v/>
      </c>
      <c r="M147" s="357" t="str" cm="1">
        <f t="array" ref="M147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7" s="357" t="str" cm="1">
        <f t="array" ref="N147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7" s="357" t="str">
        <f>IF(Tabela_SP4[[#This Row],[sem2.forma]]&lt;&gt;"",Tabela_SP4[[#This Row],[sem2.forma]],"")</f>
        <v/>
      </c>
      <c r="P147" s="358" t="str" cm="1">
        <f t="array" ref="P147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7" s="359" t="str" cm="1">
        <f t="array" ref="Q147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7" s="358" t="str">
        <f>IF(Tabela_SP4[[#This Row],[sem3.forma]]&lt;&gt;"",Tabela_SP4[[#This Row],[sem3.forma]],"")</f>
        <v/>
      </c>
      <c r="S147" s="355" t="str" cm="1">
        <f t="array" ref="S147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7" s="355" t="str" cm="1">
        <f t="array" ref="T147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7" s="355" t="str">
        <f>IF(Tabela_SP4[[#This Row],[sem4.forma]]&lt;&gt;"",Tabela_SP4[[#This Row],[sem4.forma]],"")</f>
        <v/>
      </c>
      <c r="V147" s="180" t="str" cm="1">
        <f t="array" ref="V147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7" s="180" t="str" cm="1">
        <f t="array" ref="W147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7" s="180" t="str">
        <f>IF(Tabela_SP4[[#This Row],[sem5.forma]]&lt;&gt;"",Tabela_SP4[[#This Row],[sem5.forma]],"")</f>
        <v/>
      </c>
      <c r="Y147" s="181" t="str" cm="1">
        <f t="array" ref="Y147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7" s="181" t="str" cm="1">
        <f t="array" ref="Z147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7" s="181" t="str">
        <f>IF(Tabela_SP4[[#This Row],[sem6.forma]]&lt;&gt;"",Tabela_SP4[[#This Row],[sem6.forma]],"")</f>
        <v/>
      </c>
      <c r="AB147" s="182" t="str" cm="1">
        <f t="array" ref="AB147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7" s="182" t="str" cm="1">
        <f t="array" ref="AC147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7" s="182" t="str">
        <f>IF(Tabela_SP4[[#This Row],[sem7.forma]]&lt;&gt;"",Tabela_SP4[[#This Row],[sem7.forma]],"")</f>
        <v/>
      </c>
      <c r="AE147" s="183" t="str" cm="1">
        <f t="array" ref="AE147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7" s="183" t="str" cm="1">
        <f t="array" ref="AF147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7" s="183" t="str">
        <f>IF(Tabela_SP4[[#This Row],[sem8.forma]]&lt;&gt;"",Tabela_SP4[[#This Row],[sem8.forma]],"")</f>
        <v/>
      </c>
      <c r="AH147" s="184" t="str" cm="1">
        <f t="array" ref="AH147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7" s="184" t="str" cm="1">
        <f t="array" ref="AI147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7" s="184" t="str">
        <f>IF(Tabela_SP4[[#This Row],[sem9.forma]]&lt;&gt;"",Tabela_SP4[[#This Row],[sem9.forma]],"")</f>
        <v/>
      </c>
      <c r="AK147" s="185" t="str" cm="1">
        <f t="array" ref="AK147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7" s="185" t="str" cm="1">
        <f t="array" ref="AL147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7" s="185" t="str">
        <f>IF(Tabela_SP4[[#This Row],[sem10.forma]]&lt;&gt;"",Tabela_SP4[[#This Row],[sem10.forma]],"")</f>
        <v/>
      </c>
      <c r="AN147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7" s="449">
        <f>IF(ISERR(SEARCH("UP",Tabela_SP4_nst[[#This Row],[Umiej.prakt.]],1)),0,Tabela_SP4_nst[[#This Row],[ects.razem]])</f>
        <v>0</v>
      </c>
      <c r="AP147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7" s="451">
        <f>SUM(Tabela_SP4_nst[[#This Row],[godziny.samoksztalcenie]],Tabela_SP4_nst[[#This Row],[godziny.konsultacja]],Tabela_SP4_nst[[#This Row],[godziny.egzamin]],Tabela_SP4_nst[[#This Row],[godziny.zajec.razem]])</f>
        <v>0</v>
      </c>
      <c r="AR147" s="452">
        <f>Tabela_SP4[[#This Row],[godziny.samoksztalcenie]]+(Tabela_SP4[[#This Row],[godziny.zajec.razem]]-Tabela_SP4_nst[[#This Row],[godziny.zajec.razem]])</f>
        <v>0</v>
      </c>
      <c r="AS147" s="453">
        <f>Tabela_SP4[[#This Row],[godziny.konsultacja]]</f>
        <v>0</v>
      </c>
      <c r="AT147" s="369">
        <f>Tabela_SP4[[#This Row],[godziny.egzamin]]</f>
        <v>0</v>
      </c>
      <c r="AU147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7" s="455">
        <f>IF(Tabela_SP4_nst[[#This Row],[ects.bezposr.nauczyciel]],Tabela_SP4_nst[[#This Row],[ects.bezposr.nauczyciel]]/Tabela_SP4_nst[[#This Row],[ects.razem]],0)</f>
        <v>0</v>
      </c>
      <c r="AW147" s="207"/>
    </row>
    <row r="148" spans="1:49" ht="25.5" hidden="1" customHeight="1" x14ac:dyDescent="0.3">
      <c r="A148" s="207"/>
      <c r="B148" s="448" t="str">
        <f>IF(Tabela_SP4[[#This Row],[kod.isced]]&lt;&gt;"",Tabela_SP4[[#This Row],[kod.isced]],"")</f>
        <v/>
      </c>
      <c r="C148" s="437" t="str">
        <f>IF(Tabela_SP4[[#This Row],[kod.dziedziny]]&lt;&gt;"",Tabela_SP4[[#This Row],[kod.dziedziny]],"")</f>
        <v/>
      </c>
      <c r="D148" s="437" t="str">
        <f>IF(Tabela_SP4[[#This Row],[Modul]]&lt;&gt;"",Tabela_SP4[[#This Row],[Modul]],"")</f>
        <v/>
      </c>
      <c r="E148" s="437" t="str">
        <f>IF(Tabela_SP4[[#This Row],[Umiej.prakt.]]&lt;&gt;"",Tabela_SP4[[#This Row],[Umiej.prakt.]],"")</f>
        <v/>
      </c>
      <c r="F148" s="438" t="str">
        <f>IF(Tabela_SP4[[#This Row],[Nazwa przedmiotu]]&lt;&gt;"",Tabela_SP4[[#This Row],[Nazwa przedmiotu]],"")</f>
        <v/>
      </c>
      <c r="G148" s="439" t="str">
        <f>IF(Tabela_SP4[[#This Row],[Prowadzacy]]&lt;&gt;"",Tabela_SP4[[#This Row],[Prowadzacy]],"")</f>
        <v/>
      </c>
      <c r="H148" s="440" t="str">
        <f>IF(Tabela_SP4[[#This Row],[Forma]]&lt;&gt;"",Tabela_SP4[[#This Row],[Forma]],"")</f>
        <v/>
      </c>
      <c r="I148" s="441" t="str">
        <f>IF(Tabela_SP4[[#This Row],[czy.ects]]&lt;&gt;"",Tabela_SP4[[#This Row],[czy.ects]],"")</f>
        <v/>
      </c>
      <c r="J148" s="356" t="str" cm="1">
        <f t="array" ref="J148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8" s="356" t="str" cm="1">
        <f t="array" ref="K148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8" s="356" t="str">
        <f>IF(Tabela_SP4[[#This Row],[sem1.forma]]&lt;&gt;"",Tabela_SP4[[#This Row],[sem1.forma]],"")</f>
        <v/>
      </c>
      <c r="M148" s="357" t="str" cm="1">
        <f t="array" ref="M148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8" s="357" t="str" cm="1">
        <f t="array" ref="N148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8" s="357" t="str">
        <f>IF(Tabela_SP4[[#This Row],[sem2.forma]]&lt;&gt;"",Tabela_SP4[[#This Row],[sem2.forma]],"")</f>
        <v/>
      </c>
      <c r="P148" s="358" t="str" cm="1">
        <f t="array" ref="P148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8" s="359" t="str" cm="1">
        <f t="array" ref="Q148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8" s="358" t="str">
        <f>IF(Tabela_SP4[[#This Row],[sem3.forma]]&lt;&gt;"",Tabela_SP4[[#This Row],[sem3.forma]],"")</f>
        <v/>
      </c>
      <c r="S148" s="355" t="str" cm="1">
        <f t="array" ref="S148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8" s="355" t="str" cm="1">
        <f t="array" ref="T148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8" s="355" t="str">
        <f>IF(Tabela_SP4[[#This Row],[sem4.forma]]&lt;&gt;"",Tabela_SP4[[#This Row],[sem4.forma]],"")</f>
        <v/>
      </c>
      <c r="V148" s="180" t="str" cm="1">
        <f t="array" ref="V148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8" s="180" t="str" cm="1">
        <f t="array" ref="W148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8" s="180" t="str">
        <f>IF(Tabela_SP4[[#This Row],[sem5.forma]]&lt;&gt;"",Tabela_SP4[[#This Row],[sem5.forma]],"")</f>
        <v/>
      </c>
      <c r="Y148" s="181" t="str" cm="1">
        <f t="array" ref="Y148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8" s="181" t="str" cm="1">
        <f t="array" ref="Z148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8" s="181" t="str">
        <f>IF(Tabela_SP4[[#This Row],[sem6.forma]]&lt;&gt;"",Tabela_SP4[[#This Row],[sem6.forma]],"")</f>
        <v/>
      </c>
      <c r="AB148" s="182" t="str" cm="1">
        <f t="array" ref="AB148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8" s="182" t="str" cm="1">
        <f t="array" ref="AC148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8" s="182" t="str">
        <f>IF(Tabela_SP4[[#This Row],[sem7.forma]]&lt;&gt;"",Tabela_SP4[[#This Row],[sem7.forma]],"")</f>
        <v/>
      </c>
      <c r="AE148" s="183" t="str" cm="1">
        <f t="array" ref="AE148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8" s="183" t="str" cm="1">
        <f t="array" ref="AF148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8" s="183" t="str">
        <f>IF(Tabela_SP4[[#This Row],[sem8.forma]]&lt;&gt;"",Tabela_SP4[[#This Row],[sem8.forma]],"")</f>
        <v/>
      </c>
      <c r="AH148" s="184" t="str" cm="1">
        <f t="array" ref="AH148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8" s="184" t="str" cm="1">
        <f t="array" ref="AI148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8" s="184" t="str">
        <f>IF(Tabela_SP4[[#This Row],[sem9.forma]]&lt;&gt;"",Tabela_SP4[[#This Row],[sem9.forma]],"")</f>
        <v/>
      </c>
      <c r="AK148" s="185" t="str" cm="1">
        <f t="array" ref="AK148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8" s="185" t="str" cm="1">
        <f t="array" ref="AL148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8" s="185" t="str">
        <f>IF(Tabela_SP4[[#This Row],[sem10.forma]]&lt;&gt;"",Tabela_SP4[[#This Row],[sem10.forma]],"")</f>
        <v/>
      </c>
      <c r="AN148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8" s="449">
        <f>IF(ISERR(SEARCH("UP",Tabela_SP4_nst[[#This Row],[Umiej.prakt.]],1)),0,Tabela_SP4_nst[[#This Row],[ects.razem]])</f>
        <v>0</v>
      </c>
      <c r="AP148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8" s="451">
        <f>SUM(Tabela_SP4_nst[[#This Row],[godziny.samoksztalcenie]],Tabela_SP4_nst[[#This Row],[godziny.konsultacja]],Tabela_SP4_nst[[#This Row],[godziny.egzamin]],Tabela_SP4_nst[[#This Row],[godziny.zajec.razem]])</f>
        <v>0</v>
      </c>
      <c r="AR148" s="452">
        <f>Tabela_SP4[[#This Row],[godziny.samoksztalcenie]]+(Tabela_SP4[[#This Row],[godziny.zajec.razem]]-Tabela_SP4_nst[[#This Row],[godziny.zajec.razem]])</f>
        <v>0</v>
      </c>
      <c r="AS148" s="453">
        <f>Tabela_SP4[[#This Row],[godziny.konsultacja]]</f>
        <v>0</v>
      </c>
      <c r="AT148" s="369">
        <f>Tabela_SP4[[#This Row],[godziny.egzamin]]</f>
        <v>0</v>
      </c>
      <c r="AU148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8" s="455">
        <f>IF(Tabela_SP4_nst[[#This Row],[ects.bezposr.nauczyciel]],Tabela_SP4_nst[[#This Row],[ects.bezposr.nauczyciel]]/Tabela_SP4_nst[[#This Row],[ects.razem]],0)</f>
        <v>0</v>
      </c>
      <c r="AW148" s="207"/>
    </row>
    <row r="149" spans="1:49" ht="25.5" hidden="1" customHeight="1" x14ac:dyDescent="0.3">
      <c r="A149" s="207"/>
      <c r="B149" s="448" t="str">
        <f>IF(Tabela_SP4[[#This Row],[kod.isced]]&lt;&gt;"",Tabela_SP4[[#This Row],[kod.isced]],"")</f>
        <v/>
      </c>
      <c r="C149" s="437" t="str">
        <f>IF(Tabela_SP4[[#This Row],[kod.dziedziny]]&lt;&gt;"",Tabela_SP4[[#This Row],[kod.dziedziny]],"")</f>
        <v/>
      </c>
      <c r="D149" s="437" t="str">
        <f>IF(Tabela_SP4[[#This Row],[Modul]]&lt;&gt;"",Tabela_SP4[[#This Row],[Modul]],"")</f>
        <v/>
      </c>
      <c r="E149" s="437" t="str">
        <f>IF(Tabela_SP4[[#This Row],[Umiej.prakt.]]&lt;&gt;"",Tabela_SP4[[#This Row],[Umiej.prakt.]],"")</f>
        <v/>
      </c>
      <c r="F149" s="438" t="str">
        <f>IF(Tabela_SP4[[#This Row],[Nazwa przedmiotu]]&lt;&gt;"",Tabela_SP4[[#This Row],[Nazwa przedmiotu]],"")</f>
        <v/>
      </c>
      <c r="G149" s="439" t="str">
        <f>IF(Tabela_SP4[[#This Row],[Prowadzacy]]&lt;&gt;"",Tabela_SP4[[#This Row],[Prowadzacy]],"")</f>
        <v/>
      </c>
      <c r="H149" s="440" t="str">
        <f>IF(Tabela_SP4[[#This Row],[Forma]]&lt;&gt;"",Tabela_SP4[[#This Row],[Forma]],"")</f>
        <v/>
      </c>
      <c r="I149" s="441" t="str">
        <f>IF(Tabela_SP4[[#This Row],[czy.ects]]&lt;&gt;"",Tabela_SP4[[#This Row],[czy.ects]],"")</f>
        <v/>
      </c>
      <c r="J149" s="356" t="str" cm="1">
        <f t="array" ref="J149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49" s="356" t="str" cm="1">
        <f t="array" ref="K149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49" s="356" t="str">
        <f>IF(Tabela_SP4[[#This Row],[sem1.forma]]&lt;&gt;"",Tabela_SP4[[#This Row],[sem1.forma]],"")</f>
        <v/>
      </c>
      <c r="M149" s="357" t="str" cm="1">
        <f t="array" ref="M149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49" s="357" t="str" cm="1">
        <f t="array" ref="N149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49" s="357" t="str">
        <f>IF(Tabela_SP4[[#This Row],[sem2.forma]]&lt;&gt;"",Tabela_SP4[[#This Row],[sem2.forma]],"")</f>
        <v/>
      </c>
      <c r="P149" s="358" t="str" cm="1">
        <f t="array" ref="P149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49" s="359" t="str" cm="1">
        <f t="array" ref="Q149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49" s="358" t="str">
        <f>IF(Tabela_SP4[[#This Row],[sem3.forma]]&lt;&gt;"",Tabela_SP4[[#This Row],[sem3.forma]],"")</f>
        <v/>
      </c>
      <c r="S149" s="355" t="str" cm="1">
        <f t="array" ref="S149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49" s="355" t="str" cm="1">
        <f t="array" ref="T149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49" s="355" t="str">
        <f>IF(Tabela_SP4[[#This Row],[sem4.forma]]&lt;&gt;"",Tabela_SP4[[#This Row],[sem4.forma]],"")</f>
        <v/>
      </c>
      <c r="V149" s="180" t="str" cm="1">
        <f t="array" ref="V149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49" s="180" t="str" cm="1">
        <f t="array" ref="W149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49" s="180" t="str">
        <f>IF(Tabela_SP4[[#This Row],[sem5.forma]]&lt;&gt;"",Tabela_SP4[[#This Row],[sem5.forma]],"")</f>
        <v/>
      </c>
      <c r="Y149" s="181" t="str" cm="1">
        <f t="array" ref="Y149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49" s="181" t="str" cm="1">
        <f t="array" ref="Z149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49" s="181" t="str">
        <f>IF(Tabela_SP4[[#This Row],[sem6.forma]]&lt;&gt;"",Tabela_SP4[[#This Row],[sem6.forma]],"")</f>
        <v/>
      </c>
      <c r="AB149" s="182" t="str" cm="1">
        <f t="array" ref="AB149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49" s="182" t="str" cm="1">
        <f t="array" ref="AC149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49" s="182" t="str">
        <f>IF(Tabela_SP4[[#This Row],[sem7.forma]]&lt;&gt;"",Tabela_SP4[[#This Row],[sem7.forma]],"")</f>
        <v/>
      </c>
      <c r="AE149" s="183" t="str" cm="1">
        <f t="array" ref="AE149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49" s="183" t="str" cm="1">
        <f t="array" ref="AF149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49" s="183" t="str">
        <f>IF(Tabela_SP4[[#This Row],[sem8.forma]]&lt;&gt;"",Tabela_SP4[[#This Row],[sem8.forma]],"")</f>
        <v/>
      </c>
      <c r="AH149" s="184" t="str" cm="1">
        <f t="array" ref="AH149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49" s="184" t="str" cm="1">
        <f t="array" ref="AI149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49" s="184" t="str">
        <f>IF(Tabela_SP4[[#This Row],[sem9.forma]]&lt;&gt;"",Tabela_SP4[[#This Row],[sem9.forma]],"")</f>
        <v/>
      </c>
      <c r="AK149" s="185" t="str" cm="1">
        <f t="array" ref="AK149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49" s="185" t="str" cm="1">
        <f t="array" ref="AL149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49" s="185" t="str">
        <f>IF(Tabela_SP4[[#This Row],[sem10.forma]]&lt;&gt;"",Tabela_SP4[[#This Row],[sem10.forma]],"")</f>
        <v/>
      </c>
      <c r="AN149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49" s="449">
        <f>IF(ISERR(SEARCH("UP",Tabela_SP4_nst[[#This Row],[Umiej.prakt.]],1)),0,Tabela_SP4_nst[[#This Row],[ects.razem]])</f>
        <v>0</v>
      </c>
      <c r="AP149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49" s="451">
        <f>SUM(Tabela_SP4_nst[[#This Row],[godziny.samoksztalcenie]],Tabela_SP4_nst[[#This Row],[godziny.konsultacja]],Tabela_SP4_nst[[#This Row],[godziny.egzamin]],Tabela_SP4_nst[[#This Row],[godziny.zajec.razem]])</f>
        <v>0</v>
      </c>
      <c r="AR149" s="452">
        <f>Tabela_SP4[[#This Row],[godziny.samoksztalcenie]]+(Tabela_SP4[[#This Row],[godziny.zajec.razem]]-Tabela_SP4_nst[[#This Row],[godziny.zajec.razem]])</f>
        <v>0</v>
      </c>
      <c r="AS149" s="453">
        <f>Tabela_SP4[[#This Row],[godziny.konsultacja]]</f>
        <v>0</v>
      </c>
      <c r="AT149" s="369">
        <f>Tabela_SP4[[#This Row],[godziny.egzamin]]</f>
        <v>0</v>
      </c>
      <c r="AU149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49" s="455">
        <f>IF(Tabela_SP4_nst[[#This Row],[ects.bezposr.nauczyciel]],Tabela_SP4_nst[[#This Row],[ects.bezposr.nauczyciel]]/Tabela_SP4_nst[[#This Row],[ects.razem]],0)</f>
        <v>0</v>
      </c>
      <c r="AW149" s="207"/>
    </row>
    <row r="150" spans="1:49" ht="25.5" hidden="1" customHeight="1" x14ac:dyDescent="0.3">
      <c r="A150" s="207"/>
      <c r="B150" s="448" t="str">
        <f>IF(Tabela_SP4[[#This Row],[kod.isced]]&lt;&gt;"",Tabela_SP4[[#This Row],[kod.isced]],"")</f>
        <v/>
      </c>
      <c r="C150" s="437" t="str">
        <f>IF(Tabela_SP4[[#This Row],[kod.dziedziny]]&lt;&gt;"",Tabela_SP4[[#This Row],[kod.dziedziny]],"")</f>
        <v/>
      </c>
      <c r="D150" s="437" t="str">
        <f>IF(Tabela_SP4[[#This Row],[Modul]]&lt;&gt;"",Tabela_SP4[[#This Row],[Modul]],"")</f>
        <v/>
      </c>
      <c r="E150" s="437" t="str">
        <f>IF(Tabela_SP4[[#This Row],[Umiej.prakt.]]&lt;&gt;"",Tabela_SP4[[#This Row],[Umiej.prakt.]],"")</f>
        <v/>
      </c>
      <c r="F150" s="438" t="str">
        <f>IF(Tabela_SP4[[#This Row],[Nazwa przedmiotu]]&lt;&gt;"",Tabela_SP4[[#This Row],[Nazwa przedmiotu]],"")</f>
        <v/>
      </c>
      <c r="G150" s="439" t="str">
        <f>IF(Tabela_SP4[[#This Row],[Prowadzacy]]&lt;&gt;"",Tabela_SP4[[#This Row],[Prowadzacy]],"")</f>
        <v/>
      </c>
      <c r="H150" s="440" t="str">
        <f>IF(Tabela_SP4[[#This Row],[Forma]]&lt;&gt;"",Tabela_SP4[[#This Row],[Forma]],"")</f>
        <v/>
      </c>
      <c r="I150" s="441" t="str">
        <f>IF(Tabela_SP4[[#This Row],[czy.ects]]&lt;&gt;"",Tabela_SP4[[#This Row],[czy.ects]],"")</f>
        <v/>
      </c>
      <c r="J150" s="356" t="str" cm="1">
        <f t="array" ref="J150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50" s="356" t="str" cm="1">
        <f t="array" ref="K150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50" s="356" t="str">
        <f>IF(Tabela_SP4[[#This Row],[sem1.forma]]&lt;&gt;"",Tabela_SP4[[#This Row],[sem1.forma]],"")</f>
        <v/>
      </c>
      <c r="M150" s="357" t="str" cm="1">
        <f t="array" ref="M150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50" s="357" t="str" cm="1">
        <f t="array" ref="N150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50" s="357" t="str">
        <f>IF(Tabela_SP4[[#This Row],[sem2.forma]]&lt;&gt;"",Tabela_SP4[[#This Row],[sem2.forma]],"")</f>
        <v/>
      </c>
      <c r="P150" s="358" t="str" cm="1">
        <f t="array" ref="P150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50" s="359" t="str" cm="1">
        <f t="array" ref="Q150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50" s="358" t="str">
        <f>IF(Tabela_SP4[[#This Row],[sem3.forma]]&lt;&gt;"",Tabela_SP4[[#This Row],[sem3.forma]],"")</f>
        <v/>
      </c>
      <c r="S150" s="355" t="str" cm="1">
        <f t="array" ref="S150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50" s="355" t="str" cm="1">
        <f t="array" ref="T150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50" s="355" t="str">
        <f>IF(Tabela_SP4[[#This Row],[sem4.forma]]&lt;&gt;"",Tabela_SP4[[#This Row],[sem4.forma]],"")</f>
        <v/>
      </c>
      <c r="V150" s="180" t="str" cm="1">
        <f t="array" ref="V150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50" s="180" t="str" cm="1">
        <f t="array" ref="W150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50" s="180" t="str">
        <f>IF(Tabela_SP4[[#This Row],[sem5.forma]]&lt;&gt;"",Tabela_SP4[[#This Row],[sem5.forma]],"")</f>
        <v/>
      </c>
      <c r="Y150" s="181" t="str" cm="1">
        <f t="array" ref="Y150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50" s="181" t="str" cm="1">
        <f t="array" ref="Z150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50" s="181" t="str">
        <f>IF(Tabela_SP4[[#This Row],[sem6.forma]]&lt;&gt;"",Tabela_SP4[[#This Row],[sem6.forma]],"")</f>
        <v/>
      </c>
      <c r="AB150" s="182" t="str" cm="1">
        <f t="array" ref="AB150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50" s="182" t="str" cm="1">
        <f t="array" ref="AC150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50" s="182" t="str">
        <f>IF(Tabela_SP4[[#This Row],[sem7.forma]]&lt;&gt;"",Tabela_SP4[[#This Row],[sem7.forma]],"")</f>
        <v/>
      </c>
      <c r="AE150" s="183" t="str" cm="1">
        <f t="array" ref="AE150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50" s="183" t="str" cm="1">
        <f t="array" ref="AF150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50" s="183" t="str">
        <f>IF(Tabela_SP4[[#This Row],[sem8.forma]]&lt;&gt;"",Tabela_SP4[[#This Row],[sem8.forma]],"")</f>
        <v/>
      </c>
      <c r="AH150" s="184" t="str" cm="1">
        <f t="array" ref="AH150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50" s="184" t="str" cm="1">
        <f t="array" ref="AI150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50" s="184" t="str">
        <f>IF(Tabela_SP4[[#This Row],[sem9.forma]]&lt;&gt;"",Tabela_SP4[[#This Row],[sem9.forma]],"")</f>
        <v/>
      </c>
      <c r="AK150" s="185" t="str" cm="1">
        <f t="array" ref="AK150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50" s="185" t="str" cm="1">
        <f t="array" ref="AL150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50" s="185" t="str">
        <f>IF(Tabela_SP4[[#This Row],[sem10.forma]]&lt;&gt;"",Tabela_SP4[[#This Row],[sem10.forma]],"")</f>
        <v/>
      </c>
      <c r="AN150" s="447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50" s="449">
        <f>IF(ISERR(SEARCH("UP",Tabela_SP4_nst[[#This Row],[Umiej.prakt.]],1)),0,Tabela_SP4_nst[[#This Row],[ects.razem]])</f>
        <v>0</v>
      </c>
      <c r="AP150" s="450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50" s="451">
        <f>SUM(Tabela_SP4_nst[[#This Row],[godziny.samoksztalcenie]],Tabela_SP4_nst[[#This Row],[godziny.konsultacja]],Tabela_SP4_nst[[#This Row],[godziny.egzamin]],Tabela_SP4_nst[[#This Row],[godziny.zajec.razem]])</f>
        <v>0</v>
      </c>
      <c r="AR150" s="452">
        <f>Tabela_SP4[[#This Row],[godziny.samoksztalcenie]]+(Tabela_SP4[[#This Row],[godziny.zajec.razem]]-Tabela_SP4_nst[[#This Row],[godziny.zajec.razem]])</f>
        <v>0</v>
      </c>
      <c r="AS150" s="453">
        <f>Tabela_SP4[[#This Row],[godziny.konsultacja]]</f>
        <v>0</v>
      </c>
      <c r="AT150" s="369">
        <f>Tabela_SP4[[#This Row],[godziny.egzamin]]</f>
        <v>0</v>
      </c>
      <c r="AU150" s="454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50" s="455">
        <f>IF(Tabela_SP4_nst[[#This Row],[ects.bezposr.nauczyciel]],Tabela_SP4_nst[[#This Row],[ects.bezposr.nauczyciel]]/Tabela_SP4_nst[[#This Row],[ects.razem]],0)</f>
        <v>0</v>
      </c>
      <c r="AW150" s="207"/>
    </row>
    <row r="151" spans="1:49" ht="25.5" hidden="1" customHeight="1" x14ac:dyDescent="0.3">
      <c r="A151" s="207"/>
      <c r="B151" s="333" t="str">
        <f>IF(Tabela_SP4[[#This Row],[kod.isced]]&lt;&gt;"",Tabela_SP4[[#This Row],[kod.isced]],"")</f>
        <v/>
      </c>
      <c r="C151" s="193" t="str">
        <f>IF(Tabela_SP4[[#This Row],[kod.dziedziny]]&lt;&gt;"",Tabela_SP4[[#This Row],[kod.dziedziny]],"")</f>
        <v/>
      </c>
      <c r="D151" s="193" t="str">
        <f>IF(Tabela_SP4[[#This Row],[Modul]]&lt;&gt;"",Tabela_SP4[[#This Row],[Modul]],"")</f>
        <v/>
      </c>
      <c r="E151" s="193" t="str">
        <f>IF(Tabela_SP4[[#This Row],[Umiej.prakt.]]&lt;&gt;"",Tabela_SP4[[#This Row],[Umiej.prakt.]],"")</f>
        <v/>
      </c>
      <c r="F151" s="308" t="str">
        <f>IF(Tabela_SP4[[#This Row],[Nazwa przedmiotu]]&lt;&gt;"",Tabela_SP4[[#This Row],[Nazwa przedmiotu]],"")</f>
        <v/>
      </c>
      <c r="G151" s="309" t="str">
        <f>IF(Tabela_SP4[[#This Row],[Prowadzacy]]&lt;&gt;"",Tabela_SP4[[#This Row],[Prowadzacy]],"")</f>
        <v/>
      </c>
      <c r="H151" s="155" t="str">
        <f>IF(Tabela_SP4[[#This Row],[Forma]]&lt;&gt;"",Tabela_SP4[[#This Row],[Forma]],"")</f>
        <v/>
      </c>
      <c r="I151" s="156" t="str">
        <f>IF(Tabela_SP4[[#This Row],[czy.ects]]&lt;&gt;"",Tabela_SP4[[#This Row],[czy.ects]],"")</f>
        <v/>
      </c>
      <c r="J151" s="356" t="str" cm="1">
        <f t="array" ref="J151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51" s="356" t="str" cm="1">
        <f t="array" ref="K151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51" s="356" t="str">
        <f>IF(Tabela_SP4[[#This Row],[sem1.forma]]&lt;&gt;"",Tabela_SP4[[#This Row],[sem1.forma]],"")</f>
        <v/>
      </c>
      <c r="M151" s="357" t="str" cm="1">
        <f t="array" ref="M151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51" s="357" t="str" cm="1">
        <f t="array" ref="N151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51" s="357" t="str">
        <f>IF(Tabela_SP4[[#This Row],[sem2.forma]]&lt;&gt;"",Tabela_SP4[[#This Row],[sem2.forma]],"")</f>
        <v/>
      </c>
      <c r="P151" s="358" t="str" cm="1">
        <f t="array" ref="P151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51" s="359" t="str" cm="1">
        <f t="array" ref="Q151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51" s="358" t="str">
        <f>IF(Tabela_SP4[[#This Row],[sem3.forma]]&lt;&gt;"",Tabela_SP4[[#This Row],[sem3.forma]],"")</f>
        <v/>
      </c>
      <c r="S151" s="355" t="str" cm="1">
        <f t="array" ref="S151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51" s="355" t="str" cm="1">
        <f t="array" ref="T151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51" s="355" t="str">
        <f>IF(Tabela_SP4[[#This Row],[sem4.forma]]&lt;&gt;"",Tabela_SP4[[#This Row],[sem4.forma]],"")</f>
        <v/>
      </c>
      <c r="V151" s="180" t="str" cm="1">
        <f t="array" ref="V151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51" s="180" t="str" cm="1">
        <f t="array" ref="W151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51" s="180" t="str">
        <f>IF(Tabela_SP4[[#This Row],[sem5.forma]]&lt;&gt;"",Tabela_SP4[[#This Row],[sem5.forma]],"")</f>
        <v/>
      </c>
      <c r="Y151" s="181" t="str" cm="1">
        <f t="array" ref="Y151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51" s="181" t="str" cm="1">
        <f t="array" ref="Z151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51" s="181" t="str">
        <f>IF(Tabela_SP4[[#This Row],[sem6.forma]]&lt;&gt;"",Tabela_SP4[[#This Row],[sem6.forma]],"")</f>
        <v/>
      </c>
      <c r="AB151" s="182" t="str" cm="1">
        <f t="array" ref="AB151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51" s="182" t="str" cm="1">
        <f t="array" ref="AC151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51" s="182" t="str">
        <f>IF(Tabela_SP4[[#This Row],[sem7.forma]]&lt;&gt;"",Tabela_SP4[[#This Row],[sem7.forma]],"")</f>
        <v/>
      </c>
      <c r="AE151" s="183" t="str" cm="1">
        <f t="array" ref="AE151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51" s="183" t="str" cm="1">
        <f t="array" ref="AF151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51" s="183" t="str">
        <f>IF(Tabela_SP4[[#This Row],[sem8.forma]]&lt;&gt;"",Tabela_SP4[[#This Row],[sem8.forma]],"")</f>
        <v/>
      </c>
      <c r="AH151" s="184" t="str" cm="1">
        <f t="array" ref="AH151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51" s="184" t="str" cm="1">
        <f t="array" ref="AI151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51" s="184" t="str">
        <f>IF(Tabela_SP4[[#This Row],[sem9.forma]]&lt;&gt;"",Tabela_SP4[[#This Row],[sem9.forma]],"")</f>
        <v/>
      </c>
      <c r="AK151" s="185" t="str" cm="1">
        <f t="array" ref="AK151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51" s="185" t="str" cm="1">
        <f t="array" ref="AL151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51" s="185" t="str">
        <f>IF(Tabela_SP4[[#This Row],[sem10.forma]]&lt;&gt;"",Tabela_SP4[[#This Row],[sem10.forma]],"")</f>
        <v/>
      </c>
      <c r="AN151" s="186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51" s="187">
        <f>IF(ISERR(SEARCH("UP",Tabela_SP4_nst[[#This Row],[Umiej.prakt.]],1)),0,Tabela_SP4_nst[[#This Row],[ects.razem]])</f>
        <v>0</v>
      </c>
      <c r="AP151" s="188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51" s="310">
        <f>SUM(Tabela_SP4_nst[[#This Row],[godziny.samoksztalcenie]],Tabela_SP4_nst[[#This Row],[godziny.konsultacja]],Tabela_SP4_nst[[#This Row],[godziny.egzamin]],Tabela_SP4_nst[[#This Row],[godziny.zajec.razem]])</f>
        <v>0</v>
      </c>
      <c r="AR151" s="311">
        <f>Tabela_SP4[[#This Row],[godziny.samoksztalcenie]]+(Tabela_SP4[[#This Row],[godziny.zajec.razem]]-Tabela_SP4_nst[[#This Row],[godziny.zajec.razem]])</f>
        <v>0</v>
      </c>
      <c r="AS151" s="189">
        <f>Tabela_SP4[[#This Row],[godziny.konsultacja]]</f>
        <v>0</v>
      </c>
      <c r="AT151" s="179">
        <f>Tabela_SP4[[#This Row],[godziny.egzamin]]</f>
        <v>0</v>
      </c>
      <c r="AU151" s="190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51" s="334">
        <f>IF(Tabela_SP4_nst[[#This Row],[ects.bezposr.nauczyciel]],Tabela_SP4_nst[[#This Row],[ects.bezposr.nauczyciel]]/Tabela_SP4_nst[[#This Row],[ects.razem]],0)</f>
        <v>0</v>
      </c>
      <c r="AW151" s="207"/>
    </row>
    <row r="152" spans="1:49" ht="25.5" hidden="1" customHeight="1" x14ac:dyDescent="0.3">
      <c r="A152" s="207"/>
      <c r="B152" s="333" t="str">
        <f>IF(Tabela_SP4[[#This Row],[kod.isced]]&lt;&gt;"",Tabela_SP4[[#This Row],[kod.isced]],"")</f>
        <v/>
      </c>
      <c r="C152" s="193" t="str">
        <f>IF(Tabela_SP4[[#This Row],[kod.dziedziny]]&lt;&gt;"",Tabela_SP4[[#This Row],[kod.dziedziny]],"")</f>
        <v/>
      </c>
      <c r="D152" s="193" t="str">
        <f>IF(Tabela_SP4[[#This Row],[Modul]]&lt;&gt;"",Tabela_SP4[[#This Row],[Modul]],"")</f>
        <v/>
      </c>
      <c r="E152" s="193" t="str">
        <f>IF(Tabela_SP4[[#This Row],[Umiej.prakt.]]&lt;&gt;"",Tabela_SP4[[#This Row],[Umiej.prakt.]],"")</f>
        <v/>
      </c>
      <c r="F152" s="308" t="str">
        <f>IF(Tabela_SP4[[#This Row],[Nazwa przedmiotu]]&lt;&gt;"",Tabela_SP4[[#This Row],[Nazwa przedmiotu]],"")</f>
        <v/>
      </c>
      <c r="G152" s="309" t="str">
        <f>IF(Tabela_SP4[[#This Row],[Prowadzacy]]&lt;&gt;"",Tabela_SP4[[#This Row],[Prowadzacy]],"")</f>
        <v/>
      </c>
      <c r="H152" s="155" t="str">
        <f>IF(Tabela_SP4[[#This Row],[Forma]]&lt;&gt;"",Tabela_SP4[[#This Row],[Forma]],"")</f>
        <v/>
      </c>
      <c r="I152" s="156" t="str">
        <f>IF(Tabela_SP4[[#This Row],[czy.ects]]&lt;&gt;"",Tabela_SP4[[#This Row],[czy.ects]],"")</f>
        <v/>
      </c>
      <c r="J152" s="356" t="str" cm="1">
        <f t="array" ref="J152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52" s="356" t="str" cm="1">
        <f t="array" ref="K152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52" s="356" t="str">
        <f>IF(Tabela_SP4[[#This Row],[sem1.forma]]&lt;&gt;"",Tabela_SP4[[#This Row],[sem1.forma]],"")</f>
        <v/>
      </c>
      <c r="M152" s="357" t="str" cm="1">
        <f t="array" ref="M152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52" s="357" t="str" cm="1">
        <f t="array" ref="N152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52" s="357" t="str">
        <f>IF(Tabela_SP4[[#This Row],[sem2.forma]]&lt;&gt;"",Tabela_SP4[[#This Row],[sem2.forma]],"")</f>
        <v/>
      </c>
      <c r="P152" s="358" t="str" cm="1">
        <f t="array" ref="P152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52" s="359" t="str" cm="1">
        <f t="array" ref="Q152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52" s="358" t="str">
        <f>IF(Tabela_SP4[[#This Row],[sem3.forma]]&lt;&gt;"",Tabela_SP4[[#This Row],[sem3.forma]],"")</f>
        <v/>
      </c>
      <c r="S152" s="355" t="str" cm="1">
        <f t="array" ref="S152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52" s="355" t="str" cm="1">
        <f t="array" ref="T152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52" s="355" t="str">
        <f>IF(Tabela_SP4[[#This Row],[sem4.forma]]&lt;&gt;"",Tabela_SP4[[#This Row],[sem4.forma]],"")</f>
        <v/>
      </c>
      <c r="V152" s="180" t="str" cm="1">
        <f t="array" ref="V152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52" s="180" t="str" cm="1">
        <f t="array" ref="W152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52" s="180" t="str">
        <f>IF(Tabela_SP4[[#This Row],[sem5.forma]]&lt;&gt;"",Tabela_SP4[[#This Row],[sem5.forma]],"")</f>
        <v/>
      </c>
      <c r="Y152" s="181" t="str" cm="1">
        <f t="array" ref="Y152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52" s="181" t="str" cm="1">
        <f t="array" ref="Z152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52" s="181" t="str">
        <f>IF(Tabela_SP4[[#This Row],[sem6.forma]]&lt;&gt;"",Tabela_SP4[[#This Row],[sem6.forma]],"")</f>
        <v/>
      </c>
      <c r="AB152" s="182" t="str" cm="1">
        <f t="array" ref="AB152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52" s="182" t="str" cm="1">
        <f t="array" ref="AC152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52" s="182" t="str">
        <f>IF(Tabela_SP4[[#This Row],[sem7.forma]]&lt;&gt;"",Tabela_SP4[[#This Row],[sem7.forma]],"")</f>
        <v/>
      </c>
      <c r="AE152" s="183" t="str" cm="1">
        <f t="array" ref="AE152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52" s="183" t="str" cm="1">
        <f t="array" ref="AF152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52" s="183" t="str">
        <f>IF(Tabela_SP4[[#This Row],[sem8.forma]]&lt;&gt;"",Tabela_SP4[[#This Row],[sem8.forma]],"")</f>
        <v/>
      </c>
      <c r="AH152" s="184" t="str" cm="1">
        <f t="array" ref="AH152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52" s="184" t="str" cm="1">
        <f t="array" ref="AI152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52" s="184" t="str">
        <f>IF(Tabela_SP4[[#This Row],[sem9.forma]]&lt;&gt;"",Tabela_SP4[[#This Row],[sem9.forma]],"")</f>
        <v/>
      </c>
      <c r="AK152" s="185" t="str" cm="1">
        <f t="array" ref="AK152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52" s="185" t="str" cm="1">
        <f t="array" ref="AL152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52" s="185" t="str">
        <f>IF(Tabela_SP4[[#This Row],[sem10.forma]]&lt;&gt;"",Tabela_SP4[[#This Row],[sem10.forma]],"")</f>
        <v/>
      </c>
      <c r="AN152" s="186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52" s="187">
        <f>IF(ISERR(SEARCH("UP",Tabela_SP4_nst[[#This Row],[Umiej.prakt.]],1)),0,Tabela_SP4_nst[[#This Row],[ects.razem]])</f>
        <v>0</v>
      </c>
      <c r="AP152" s="188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52" s="310">
        <f>SUM(Tabela_SP4_nst[[#This Row],[godziny.samoksztalcenie]],Tabela_SP4_nst[[#This Row],[godziny.konsultacja]],Tabela_SP4_nst[[#This Row],[godziny.egzamin]],Tabela_SP4_nst[[#This Row],[godziny.zajec.razem]])</f>
        <v>0</v>
      </c>
      <c r="AR152" s="311">
        <f>Tabela_SP4[[#This Row],[godziny.samoksztalcenie]]+(Tabela_SP4[[#This Row],[godziny.zajec.razem]]-Tabela_SP4_nst[[#This Row],[godziny.zajec.razem]])</f>
        <v>0</v>
      </c>
      <c r="AS152" s="189">
        <f>Tabela_SP4[[#This Row],[godziny.konsultacja]]</f>
        <v>0</v>
      </c>
      <c r="AT152" s="179">
        <f>Tabela_SP4[[#This Row],[godziny.egzamin]]</f>
        <v>0</v>
      </c>
      <c r="AU152" s="190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52" s="334">
        <f>IF(Tabela_SP4_nst[[#This Row],[ects.bezposr.nauczyciel]],Tabela_SP4_nst[[#This Row],[ects.bezposr.nauczyciel]]/Tabela_SP4_nst[[#This Row],[ects.razem]],0)</f>
        <v>0</v>
      </c>
      <c r="AW152" s="207"/>
    </row>
    <row r="153" spans="1:49" ht="25.5" hidden="1" customHeight="1" x14ac:dyDescent="0.3">
      <c r="A153" s="207"/>
      <c r="B153" s="333" t="str">
        <f>IF(Tabela_SP4[[#This Row],[kod.isced]]&lt;&gt;"",Tabela_SP4[[#This Row],[kod.isced]],"")</f>
        <v/>
      </c>
      <c r="C153" s="193" t="str">
        <f>IF(Tabela_SP4[[#This Row],[kod.dziedziny]]&lt;&gt;"",Tabela_SP4[[#This Row],[kod.dziedziny]],"")</f>
        <v/>
      </c>
      <c r="D153" s="193" t="str">
        <f>IF(Tabela_SP4[[#This Row],[Modul]]&lt;&gt;"",Tabela_SP4[[#This Row],[Modul]],"")</f>
        <v/>
      </c>
      <c r="E153" s="193" t="str">
        <f>IF(Tabela_SP4[[#This Row],[Umiej.prakt.]]&lt;&gt;"",Tabela_SP4[[#This Row],[Umiej.prakt.]],"")</f>
        <v/>
      </c>
      <c r="F153" s="308" t="str">
        <f>IF(Tabela_SP4[[#This Row],[Nazwa przedmiotu]]&lt;&gt;"",Tabela_SP4[[#This Row],[Nazwa przedmiotu]],"")</f>
        <v/>
      </c>
      <c r="G153" s="309" t="str">
        <f>IF(Tabela_SP4[[#This Row],[Prowadzacy]]&lt;&gt;"",Tabela_SP4[[#This Row],[Prowadzacy]],"")</f>
        <v/>
      </c>
      <c r="H153" s="155" t="str">
        <f>IF(Tabela_SP4[[#This Row],[Forma]]&lt;&gt;"",Tabela_SP4[[#This Row],[Forma]],"")</f>
        <v/>
      </c>
      <c r="I153" s="156" t="str">
        <f>IF(Tabela_SP4[[#This Row],[czy.ects]]&lt;&gt;"",Tabela_SP4[[#This Row],[czy.ects]],"")</f>
        <v/>
      </c>
      <c r="J153" s="356" t="str" cm="1">
        <f t="array" ref="J153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53" s="356" t="str" cm="1">
        <f t="array" ref="K153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53" s="356" t="str">
        <f>IF(Tabela_SP4[[#This Row],[sem1.forma]]&lt;&gt;"",Tabela_SP4[[#This Row],[sem1.forma]],"")</f>
        <v/>
      </c>
      <c r="M153" s="357" t="str" cm="1">
        <f t="array" ref="M153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53" s="357" t="str" cm="1">
        <f t="array" ref="N153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53" s="357" t="str">
        <f>IF(Tabela_SP4[[#This Row],[sem2.forma]]&lt;&gt;"",Tabela_SP4[[#This Row],[sem2.forma]],"")</f>
        <v/>
      </c>
      <c r="P153" s="358" t="str" cm="1">
        <f t="array" ref="P153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53" s="359" t="str" cm="1">
        <f t="array" ref="Q153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53" s="358" t="str">
        <f>IF(Tabela_SP4[[#This Row],[sem3.forma]]&lt;&gt;"",Tabela_SP4[[#This Row],[sem3.forma]],"")</f>
        <v/>
      </c>
      <c r="S153" s="355" t="str" cm="1">
        <f t="array" ref="S153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53" s="355" t="str" cm="1">
        <f t="array" ref="T153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53" s="355" t="str">
        <f>IF(Tabela_SP4[[#This Row],[sem4.forma]]&lt;&gt;"",Tabela_SP4[[#This Row],[sem4.forma]],"")</f>
        <v/>
      </c>
      <c r="V153" s="180" t="str" cm="1">
        <f t="array" ref="V153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53" s="180" t="str" cm="1">
        <f t="array" ref="W153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53" s="180" t="str">
        <f>IF(Tabela_SP4[[#This Row],[sem5.forma]]&lt;&gt;"",Tabela_SP4[[#This Row],[sem5.forma]],"")</f>
        <v/>
      </c>
      <c r="Y153" s="181" t="str" cm="1">
        <f t="array" ref="Y153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53" s="181" t="str" cm="1">
        <f t="array" ref="Z153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53" s="181" t="str">
        <f>IF(Tabela_SP4[[#This Row],[sem6.forma]]&lt;&gt;"",Tabela_SP4[[#This Row],[sem6.forma]],"")</f>
        <v/>
      </c>
      <c r="AB153" s="182" t="str" cm="1">
        <f t="array" ref="AB153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53" s="182" t="str" cm="1">
        <f t="array" ref="AC153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53" s="182" t="str">
        <f>IF(Tabela_SP4[[#This Row],[sem7.forma]]&lt;&gt;"",Tabela_SP4[[#This Row],[sem7.forma]],"")</f>
        <v/>
      </c>
      <c r="AE153" s="183" t="str" cm="1">
        <f t="array" ref="AE153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53" s="183" t="str" cm="1">
        <f t="array" ref="AF153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53" s="183" t="str">
        <f>IF(Tabela_SP4[[#This Row],[sem8.forma]]&lt;&gt;"",Tabela_SP4[[#This Row],[sem8.forma]],"")</f>
        <v/>
      </c>
      <c r="AH153" s="184" t="str" cm="1">
        <f t="array" ref="AH153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53" s="184" t="str" cm="1">
        <f t="array" ref="AI153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53" s="184" t="str">
        <f>IF(Tabela_SP4[[#This Row],[sem9.forma]]&lt;&gt;"",Tabela_SP4[[#This Row],[sem9.forma]],"")</f>
        <v/>
      </c>
      <c r="AK153" s="185" t="str" cm="1">
        <f t="array" ref="AK153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53" s="185" t="str" cm="1">
        <f t="array" ref="AL153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53" s="185" t="str">
        <f>IF(Tabela_SP4[[#This Row],[sem10.forma]]&lt;&gt;"",Tabela_SP4[[#This Row],[sem10.forma]],"")</f>
        <v/>
      </c>
      <c r="AN153" s="186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53" s="187">
        <f>IF(ISERR(SEARCH("UP",Tabela_SP4_nst[[#This Row],[Umiej.prakt.]],1)),0,Tabela_SP4_nst[[#This Row],[ects.razem]])</f>
        <v>0</v>
      </c>
      <c r="AP153" s="188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53" s="310">
        <f>SUM(Tabela_SP4_nst[[#This Row],[godziny.samoksztalcenie]],Tabela_SP4_nst[[#This Row],[godziny.konsultacja]],Tabela_SP4_nst[[#This Row],[godziny.egzamin]],Tabela_SP4_nst[[#This Row],[godziny.zajec.razem]])</f>
        <v>0</v>
      </c>
      <c r="AR153" s="311">
        <f>Tabela_SP4[[#This Row],[godziny.samoksztalcenie]]+(Tabela_SP4[[#This Row],[godziny.zajec.razem]]-Tabela_SP4_nst[[#This Row],[godziny.zajec.razem]])</f>
        <v>0</v>
      </c>
      <c r="AS153" s="189">
        <f>Tabela_SP4[[#This Row],[godziny.konsultacja]]</f>
        <v>0</v>
      </c>
      <c r="AT153" s="179">
        <f>Tabela_SP4[[#This Row],[godziny.egzamin]]</f>
        <v>0</v>
      </c>
      <c r="AU153" s="190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53" s="334">
        <f>IF(Tabela_SP4_nst[[#This Row],[ects.bezposr.nauczyciel]],Tabela_SP4_nst[[#This Row],[ects.bezposr.nauczyciel]]/Tabela_SP4_nst[[#This Row],[ects.razem]],0)</f>
        <v>0</v>
      </c>
      <c r="AW153" s="207"/>
    </row>
    <row r="154" spans="1:49" ht="25.5" hidden="1" customHeight="1" x14ac:dyDescent="0.3">
      <c r="A154" s="207"/>
      <c r="B154" s="333" t="str">
        <f>IF(Tabela_SP4[[#This Row],[kod.isced]]&lt;&gt;"",Tabela_SP4[[#This Row],[kod.isced]],"")</f>
        <v/>
      </c>
      <c r="C154" s="193" t="str">
        <f>IF(Tabela_SP4[[#This Row],[kod.dziedziny]]&lt;&gt;"",Tabela_SP4[[#This Row],[kod.dziedziny]],"")</f>
        <v/>
      </c>
      <c r="D154" s="193" t="str">
        <f>IF(Tabela_SP4[[#This Row],[Modul]]&lt;&gt;"",Tabela_SP4[[#This Row],[Modul]],"")</f>
        <v/>
      </c>
      <c r="E154" s="193" t="str">
        <f>IF(Tabela_SP4[[#This Row],[Umiej.prakt.]]&lt;&gt;"",Tabela_SP4[[#This Row],[Umiej.prakt.]],"")</f>
        <v/>
      </c>
      <c r="F154" s="308" t="str">
        <f>IF(Tabela_SP4[[#This Row],[Nazwa przedmiotu]]&lt;&gt;"",Tabela_SP4[[#This Row],[Nazwa przedmiotu]],"")</f>
        <v/>
      </c>
      <c r="G154" s="309" t="str">
        <f>IF(Tabela_SP4[[#This Row],[Prowadzacy]]&lt;&gt;"",Tabela_SP4[[#This Row],[Prowadzacy]],"")</f>
        <v/>
      </c>
      <c r="H154" s="155" t="str">
        <f>IF(Tabela_SP4[[#This Row],[Forma]]&lt;&gt;"",Tabela_SP4[[#This Row],[Forma]],"")</f>
        <v/>
      </c>
      <c r="I154" s="156" t="str">
        <f>IF(Tabela_SP4[[#This Row],[czy.ects]]&lt;&gt;"",Tabela_SP4[[#This Row],[czy.ects]],"")</f>
        <v/>
      </c>
      <c r="J154" s="356" t="str" cm="1">
        <f t="array" ref="J154">_xlfn.IFS(AND(OR(Tabela_SP4[[#This Row],[Forma]]="praktyka",Tabela_SP4[[#This Row],[Forma]]="instruktaż"),Tabela_SP4[[#This Row],[sem1.godziny]]&gt;1),Tabela_SP4[[#This Row],[sem1.godziny]],Tabela_SP4[[#This Row],[sem1.godziny]]&gt;14,Tabela_SP4[[#This Row],[sem1.godziny]]*0.6,Tabela_SP4[[#This Row],[sem1.godziny]]&gt;1,Tabela_SP4[[#This Row],[sem1.godziny]],TRUE,"")</f>
        <v/>
      </c>
      <c r="K154" s="356" t="str" cm="1">
        <f t="array" ref="K154">IF(Tabela_SP4_nst[[#This Row],[czy.ects]]="TAK",_xlfn.IFS(AND(Tabela_SP4_nst[[#This Row],[sem1.godziny]]&gt;=$Q$200,Tabela_SP4_nst[[#This Row],[sem1.forma]]="z"),8,AND(Tabela_SP4_nst[[#This Row],[sem1.godziny]]&gt;=$I$200,Tabela_SP4_nst[[#This Row],[sem1.forma]]="z"),4,AND(Tabela_SP4_nst[[#This Row],[sem1.godziny]]&gt;=$H$200,Tabela_SP4_nst[[#This Row],[sem1.forma]]="e"),2,AND(Tabela_SP4_nst[[#This Row],[sem1.godziny]]&lt;$H$200,Tabela_SP4_nst[[#This Row],[sem1.forma]]="e"),1,AND(Tabela_SP4_nst[[#This Row],[sem1.godziny]]&gt;=$H$200,Tabela_SP4_nst[[#This Row],[sem1.forma]]="z"),2,AND(Tabela_SP4_nst[[#This Row],[sem1.godziny]]&lt;$H$200,Tabela_SP4_nst[[#This Row],[sem1.forma]]="z"),1,TRUE,""),"")</f>
        <v/>
      </c>
      <c r="L154" s="356" t="str">
        <f>IF(Tabela_SP4[[#This Row],[sem1.forma]]&lt;&gt;"",Tabela_SP4[[#This Row],[sem1.forma]],"")</f>
        <v/>
      </c>
      <c r="M154" s="357" t="str" cm="1">
        <f t="array" ref="M154">_xlfn.IFS(AND(OR(Tabela_SP4[[#This Row],[Forma]]="praktyka",Tabela_SP4[[#This Row],[Forma]]="instruktaż"),Tabela_SP4[[#This Row],[sem2.godziny]]&gt;1),Tabela_SP4[[#This Row],[sem2.godziny]],Tabela_SP4[[#This Row],[sem2.godziny]]&gt;14,Tabela_SP4[[#This Row],[sem2.godziny]]*0.6,Tabela_SP4[[#This Row],[sem2.godziny]]&gt;1,Tabela_SP4[[#This Row],[sem2.godziny]],TRUE,"")</f>
        <v/>
      </c>
      <c r="N154" s="357" t="str" cm="1">
        <f t="array" ref="N154">IF(Tabela_SP4_nst[[#This Row],[czy.ects]]="TAK",_xlfn.IFS(AND(Tabela_SP4_nst[[#This Row],[sem2.godziny]]&gt;=$Q$200,Tabela_SP4_nst[[#This Row],[sem2.forma]]="z"),8,AND(Tabela_SP4_nst[[#This Row],[sem2.godziny]]&gt;=$I$200,Tabela_SP4_nst[[#This Row],[sem2.forma]]="z"),4,AND(Tabela_SP4_nst[[#This Row],[sem2.godziny]]&gt;=$H$200,Tabela_SP4_nst[[#This Row],[sem2.forma]]="e"),2,AND(Tabela_SP4_nst[[#This Row],[sem2.godziny]]&lt;$H$200,Tabela_SP4_nst[[#This Row],[sem2.forma]]="e"),1,AND(Tabela_SP4_nst[[#This Row],[sem2.godziny]]&gt;=$H$200,Tabela_SP4_nst[[#This Row],[sem2.forma]]="z"),2,AND(Tabela_SP4_nst[[#This Row],[sem2.godziny]]&lt;$H$200,Tabela_SP4_nst[[#This Row],[sem2.forma]]="z"),1,TRUE,""),"")</f>
        <v/>
      </c>
      <c r="O154" s="357" t="str">
        <f>IF(Tabela_SP4[[#This Row],[sem2.forma]]&lt;&gt;"",Tabela_SP4[[#This Row],[sem2.forma]],"")</f>
        <v/>
      </c>
      <c r="P154" s="358" t="str" cm="1">
        <f t="array" ref="P154">_xlfn.IFS(AND(OR(Tabela_SP4[[#This Row],[Forma]]="praktyka",Tabela_SP4[[#This Row],[Forma]]="instruktaż"),Tabela_SP4[[#This Row],[sem3.godziny]]&gt;1),Tabela_SP4[[#This Row],[sem3.godziny]],Tabela_SP4[[#This Row],[sem3.godziny]]&gt;14,Tabela_SP4[[#This Row],[sem3.godziny]]*0.6,Tabela_SP4[[#This Row],[sem3.godziny]]&gt;1,Tabela_SP4[[#This Row],[sem3.godziny]],TRUE,"")</f>
        <v/>
      </c>
      <c r="Q154" s="359" t="str" cm="1">
        <f t="array" ref="Q154">IF(Tabela_SP4_nst[[#This Row],[czy.ects]]="TAK",_xlfn.IFS(AND(Tabela_SP4_nst[[#This Row],[sem3.godziny]]&gt;=$Q$200,Tabela_SP4_nst[[#This Row],[sem3.forma]]="z"),8,AND(Tabela_SP4_nst[[#This Row],[sem3.godziny]]&gt;=$I$200,Tabela_SP4_nst[[#This Row],[sem3.forma]]="z"),4,AND(Tabela_SP4_nst[[#This Row],[sem3.godziny]]&gt;=$H$200,Tabela_SP4_nst[[#This Row],[sem3.forma]]="e"),2,AND(Tabela_SP4_nst[[#This Row],[sem3.godziny]]&lt;$H$200,Tabela_SP4_nst[[#This Row],[sem3.forma]]="e"),1,AND(Tabela_SP4_nst[[#This Row],[sem3.godziny]]&gt;=$H$200,Tabela_SP4_nst[[#This Row],[sem3.forma]]="z"),2,AND(Tabela_SP4_nst[[#This Row],[sem3.godziny]]&lt;$H$200,Tabela_SP4_nst[[#This Row],[sem3.forma]]="z"),1,TRUE,""),"")</f>
        <v/>
      </c>
      <c r="R154" s="358" t="str">
        <f>IF(Tabela_SP4[[#This Row],[sem3.forma]]&lt;&gt;"",Tabela_SP4[[#This Row],[sem3.forma]],"")</f>
        <v/>
      </c>
      <c r="S154" s="355" t="str" cm="1">
        <f t="array" ref="S154">_xlfn.IFS(AND(OR(Tabela_SP4[[#This Row],[Forma]]="praktyka",Tabela_SP4[[#This Row],[Forma]]="instruktaż"),Tabela_SP4[[#This Row],[sem4.godziny]]&gt;1),Tabela_SP4[[#This Row],[sem4.godziny]],Tabela_SP4[[#This Row],[sem4.godziny]]&gt;14,Tabela_SP4[[#This Row],[sem4.godziny]]*0.6,Tabela_SP4[[#This Row],[sem4.godziny]]&gt;1,Tabela_SP4[[#This Row],[sem4.godziny]],TRUE,"")</f>
        <v/>
      </c>
      <c r="T154" s="355" t="str" cm="1">
        <f t="array" ref="T154">IF(Tabela_SP4_nst[[#This Row],[czy.ects]]="TAK",_xlfn.IFS(AND(Tabela_SP4_nst[[#This Row],[sem4.godziny]]&gt;=$Q$200,Tabela_SP4_nst[[#This Row],[sem4.forma]]="z"),8,AND(Tabela_SP4_nst[[#This Row],[sem4.godziny]]&gt;=$I$200,Tabela_SP4_nst[[#This Row],[sem4.forma]]="z"),4,AND(Tabela_SP4_nst[[#This Row],[sem4.godziny]]&gt;=$H$200,Tabela_SP4_nst[[#This Row],[sem4.forma]]="e"),2,AND(Tabela_SP4_nst[[#This Row],[sem4.godziny]]&lt;$H$200,Tabela_SP4_nst[[#This Row],[sem4.forma]]="e"),1,AND(Tabela_SP4_nst[[#This Row],[sem4.godziny]]&gt;=$H$200,Tabela_SP4_nst[[#This Row],[sem4.forma]]="z"),2,AND(Tabela_SP4_nst[[#This Row],[sem4.godziny]]&lt;$H$200,Tabela_SP4_nst[[#This Row],[sem4.forma]]="z"),1,TRUE,""),"")</f>
        <v/>
      </c>
      <c r="U154" s="355" t="str">
        <f>IF(Tabela_SP4[[#This Row],[sem4.forma]]&lt;&gt;"",Tabela_SP4[[#This Row],[sem4.forma]],"")</f>
        <v/>
      </c>
      <c r="V154" s="180" t="str" cm="1">
        <f t="array" ref="V154">_xlfn.IFS(AND(OR(Tabela_SP4[[#This Row],[Forma]]="praktyka",Tabela_SP4[[#This Row],[Forma]]="instruktaż"),Tabela_SP4[[#This Row],[sem5.godziny]]&gt;1),Tabela_SP4[[#This Row],[sem5.godziny]],Tabela_SP4[[#This Row],[sem5.godziny]]&gt;14,Tabela_SP4[[#This Row],[sem5.godziny]]*0.6,Tabela_SP4[[#This Row],[sem5.godziny]]&gt;1,Tabela_SP4[[#This Row],[sem5.godziny]],TRUE,"")</f>
        <v/>
      </c>
      <c r="W154" s="180" t="str" cm="1">
        <f t="array" ref="W154">IF(Tabela_SP4_nst[[#This Row],[czy.ects]]="TAK",_xlfn.IFS(AND(Tabela_SP4_nst[[#This Row],[sem5.godziny]]&gt;=$Q$200,Tabela_SP4_nst[[#This Row],[sem5.forma]]="z"),8,AND(Tabela_SP4_nst[[#This Row],[sem5.godziny]]&gt;=$I$200,Tabela_SP4_nst[[#This Row],[sem5.forma]]="z"),4,AND(Tabela_SP4_nst[[#This Row],[sem5.godziny]]&gt;=$H$200,Tabela_SP4_nst[[#This Row],[sem5.forma]]="e"),2,AND(Tabela_SP4_nst[[#This Row],[sem5.godziny]]&lt;$H$200,Tabela_SP4_nst[[#This Row],[sem5.forma]]="e"),1,AND(Tabela_SP4_nst[[#This Row],[sem5.godziny]]&gt;=$H$200,Tabela_SP4_nst[[#This Row],[sem5.forma]]="z"),2,AND(Tabela_SP4_nst[[#This Row],[sem5.godziny]]&lt;$H$200,Tabela_SP4_nst[[#This Row],[sem5.forma]]="z"),1,TRUE,""),"")</f>
        <v/>
      </c>
      <c r="X154" s="180" t="str">
        <f>IF(Tabela_SP4[[#This Row],[sem5.forma]]&lt;&gt;"",Tabela_SP4[[#This Row],[sem5.forma]],"")</f>
        <v/>
      </c>
      <c r="Y154" s="181" t="str" cm="1">
        <f t="array" ref="Y154">_xlfn.IFS(AND(OR(Tabela_SP4[[#This Row],[Forma]]="praktyka",Tabela_SP4[[#This Row],[Forma]]="instruktaż"),Tabela_SP4[[#This Row],[sem6.godziny]]&gt;1),Tabela_SP4[[#This Row],[sem6.godziny]],Tabela_SP4[[#This Row],[sem6.godziny]]&gt;14,Tabela_SP4[[#This Row],[sem6.godziny]]*0.6,Tabela_SP4[[#This Row],[sem6.godziny]]&gt;1,Tabela_SP4[[#This Row],[sem6.godziny]],TRUE,"")</f>
        <v/>
      </c>
      <c r="Z154" s="181" t="str" cm="1">
        <f t="array" ref="Z154">IF(Tabela_SP4_nst[[#This Row],[czy.ects]]="TAK",_xlfn.IFS(AND(Tabela_SP4_nst[[#This Row],[sem6.godziny]]&gt;=$Q$200,Tabela_SP4_nst[[#This Row],[sem6.forma]]="z"),8,AND(Tabela_SP4_nst[[#This Row],[sem6.godziny]]&gt;=$I$200,Tabela_SP4_nst[[#This Row],[sem6.forma]]="z"),4,AND(Tabela_SP4_nst[[#This Row],[sem6.godziny]]&gt;=$H$200,Tabela_SP4_nst[[#This Row],[sem6.forma]]="e"),2,AND(Tabela_SP4_nst[[#This Row],[sem6.godziny]]&lt;$H$200,Tabela_SP4_nst[[#This Row],[sem6.forma]]="e"),1,AND(Tabela_SP4_nst[[#This Row],[sem6.godziny]]&gt;=$H$200,Tabela_SP4_nst[[#This Row],[sem6.forma]]="z"),2,AND(Tabela_SP4_nst[[#This Row],[sem6.godziny]]&lt;$H$200,Tabela_SP4_nst[[#This Row],[sem6.forma]]="z"),1,TRUE,""),"")</f>
        <v/>
      </c>
      <c r="AA154" s="181" t="str">
        <f>IF(Tabela_SP4[[#This Row],[sem6.forma]]&lt;&gt;"",Tabela_SP4[[#This Row],[sem6.forma]],"")</f>
        <v/>
      </c>
      <c r="AB154" s="182" t="str" cm="1">
        <f t="array" ref="AB154">_xlfn.IFS(AND(OR(Tabela_SP4[[#This Row],[Forma]]="praktyka",Tabela_SP4[[#This Row],[Forma]]="instruktaż"),Tabela_SP4[[#This Row],[sem7.godziny]]&gt;1),Tabela_SP4[[#This Row],[sem7.godziny]],Tabela_SP4[[#This Row],[sem7.godziny]]&gt;14,Tabela_SP4[[#This Row],[sem7.godziny]]*0.6,Tabela_SP4[[#This Row],[sem7.godziny]]&gt;1,Tabela_SP4[[#This Row],[sem7.godziny]],TRUE,"")</f>
        <v/>
      </c>
      <c r="AC154" s="182" t="str" cm="1">
        <f t="array" ref="AC154">IF(Tabela_SP4_nst[[#This Row],[czy.ects]]="TAK",_xlfn.IFS(AND(Tabela_SP4_nst[[#This Row],[sem7.godziny]]&gt;=$Q$200,Tabela_SP4_nst[[#This Row],[sem7.forma]]="z"),8,AND(Tabela_SP4_nst[[#This Row],[sem7.godziny]]&gt;=$I$200,Tabela_SP4_nst[[#This Row],[sem7.forma]]="z"),4,AND(Tabela_SP4_nst[[#This Row],[sem7.godziny]]&gt;=$H$200,Tabela_SP4_nst[[#This Row],[sem7.forma]]="e"),2,AND(Tabela_SP4_nst[[#This Row],[sem7.godziny]]&lt;$H$200,Tabela_SP4_nst[[#This Row],[sem7.forma]]="e"),1,AND(Tabela_SP4_nst[[#This Row],[sem7.godziny]]&gt;=$H$200,Tabela_SP4_nst[[#This Row],[sem7.forma]]="z"),2,AND(Tabela_SP4_nst[[#This Row],[sem7.godziny]]&lt;$H$200,Tabela_SP4_nst[[#This Row],[sem7.forma]]="z"),1,TRUE,""),"")</f>
        <v/>
      </c>
      <c r="AD154" s="182" t="str">
        <f>IF(Tabela_SP4[[#This Row],[sem7.forma]]&lt;&gt;"",Tabela_SP4[[#This Row],[sem7.forma]],"")</f>
        <v/>
      </c>
      <c r="AE154" s="183" t="str" cm="1">
        <f t="array" ref="AE154">_xlfn.IFS(AND(OR(Tabela_SP4[[#This Row],[Forma]]="praktyka",Tabela_SP4[[#This Row],[Forma]]="instruktaż"),Tabela_SP4[[#This Row],[sem8.godziny]]&gt;1),Tabela_SP4[[#This Row],[sem8.godziny]],Tabela_SP4[[#This Row],[sem8.godziny]]&gt;14,Tabela_SP4[[#This Row],[sem8.godziny]]*0.6,Tabela_SP4[[#This Row],[sem8.godziny]]&gt;1,Tabela_SP4[[#This Row],[sem8.godziny]],TRUE,"")</f>
        <v/>
      </c>
      <c r="AF154" s="183" t="str" cm="1">
        <f t="array" ref="AF154">IF(Tabela_SP4_nst[[#This Row],[czy.ects]]="TAK",_xlfn.IFS(AND(Tabela_SP4_nst[[#This Row],[sem8.godziny]]&gt;=$Q$200,Tabela_SP4_nst[[#This Row],[sem8.forma]]="z"),8,AND(Tabela_SP4_nst[[#This Row],[sem8.godziny]]&gt;=$I$200,Tabela_SP4_nst[[#This Row],[sem8.forma]]="z"),4,AND(Tabela_SP4_nst[[#This Row],[sem8.godziny]]&gt;=$H$200,Tabela_SP4_nst[[#This Row],[sem8.forma]]="e"),2,AND(Tabela_SP4_nst[[#This Row],[sem8.godziny]]&lt;$H$200,Tabela_SP4_nst[[#This Row],[sem8.forma]]="e"),1,AND(Tabela_SP4_nst[[#This Row],[sem8.godziny]]&gt;=$H$200,Tabela_SP4_nst[[#This Row],[sem8.forma]]="z"),2,AND(Tabela_SP4_nst[[#This Row],[sem8.godziny]]&lt;$H$200,Tabela_SP4_nst[[#This Row],[sem8.forma]]="z"),1,TRUE,""),"")</f>
        <v/>
      </c>
      <c r="AG154" s="183" t="str">
        <f>IF(Tabela_SP4[[#This Row],[sem8.forma]]&lt;&gt;"",Tabela_SP4[[#This Row],[sem8.forma]],"")</f>
        <v/>
      </c>
      <c r="AH154" s="184" t="str" cm="1">
        <f t="array" ref="AH154">_xlfn.IFS(AND(OR(Tabela_SP4[[#This Row],[Forma]]="praktyka",Tabela_SP4[[#This Row],[Forma]]="instruktaż"),Tabela_SP4[[#This Row],[sem9.godziny]]&gt;1),Tabela_SP4[[#This Row],[sem9.godziny]],Tabela_SP4[[#This Row],[sem9.godziny]]&gt;14,Tabela_SP4[[#This Row],[sem9.godziny]]*0.6,Tabela_SP4[[#This Row],[sem9.godziny]]&gt;1,Tabela_SP4[[#This Row],[sem9.godziny]],TRUE,"")</f>
        <v/>
      </c>
      <c r="AI154" s="184" t="str" cm="1">
        <f t="array" ref="AI154">IF(Tabela_SP4_nst[[#This Row],[czy.ects]]="TAK",_xlfn.IFS(AND(Tabela_SP4_nst[[#This Row],[sem9.godziny]]&gt;=$Q$200,Tabela_SP4_nst[[#This Row],[sem9.forma]]="z"),8,AND(Tabela_SP4_nst[[#This Row],[sem9.godziny]]&gt;=$I$200,Tabela_SP4_nst[[#This Row],[sem9.forma]]="z"),4,AND(Tabela_SP4_nst[[#This Row],[sem9.godziny]]&gt;=$H$200,Tabela_SP4_nst[[#This Row],[sem9.forma]]="e"),2,AND(Tabela_SP4_nst[[#This Row],[sem9.godziny]]&lt;$H$200,Tabela_SP4_nst[[#This Row],[sem9.forma]]="e"),1,AND(Tabela_SP4_nst[[#This Row],[sem9.godziny]]&gt;=$H$200,Tabela_SP4_nst[[#This Row],[sem9.forma]]="z"),2,AND(Tabela_SP4_nst[[#This Row],[sem9.godziny]]&lt;$H$200,Tabela_SP4_nst[[#This Row],[sem9.forma]]="z"),1,TRUE,""),"")</f>
        <v/>
      </c>
      <c r="AJ154" s="184" t="str">
        <f>IF(Tabela_SP4[[#This Row],[sem9.forma]]&lt;&gt;"",Tabela_SP4[[#This Row],[sem9.forma]],"")</f>
        <v/>
      </c>
      <c r="AK154" s="185" t="str" cm="1">
        <f t="array" ref="AK154">_xlfn.IFS(AND(OR(Tabela_SP4[[#This Row],[Forma]]="praktyka",Tabela_SP4[[#This Row],[Forma]]="instruktaż"),Tabela_SP4[[#This Row],[sem10.godziny]]&gt;1),Tabela_SP4[[#This Row],[sem10.godziny]],Tabela_SP4[[#This Row],[sem10.godziny]]&gt;14,Tabela_SP4[[#This Row],[sem10.godziny]]*0.6,Tabela_SP4[[#This Row],[sem10.godziny]]&gt;1,Tabela_SP4[[#This Row],[sem10.godziny]],TRUE,"")</f>
        <v/>
      </c>
      <c r="AL154" s="185" t="str" cm="1">
        <f t="array" ref="AL154">IF(Tabela_SP4_nst[[#This Row],[czy.ects]]="TAK",_xlfn.IFS(AND(Tabela_SP4_nst[[#This Row],[sem10.godziny]]&gt;=$Q$200,Tabela_SP4_nst[[#This Row],[sem10.forma]]="z"),8,AND(Tabela_SP4_nst[[#This Row],[sem10.godziny]]&gt;=$I$200,Tabela_SP4_nst[[#This Row],[sem10.forma]]="z"),4,AND(Tabela_SP4_nst[[#This Row],[sem10.godziny]]&gt;=$H$200,Tabela_SP4_nst[[#This Row],[sem10.forma]]="e"),2,AND(Tabela_SP4_nst[[#This Row],[sem10.godziny]]&lt;$H$200,Tabela_SP4_nst[[#This Row],[sem10.forma]]="e"),1,AND(Tabela_SP4_nst[[#This Row],[sem10.godziny]]&gt;=$H$200,Tabela_SP4_nst[[#This Row],[sem10.forma]]="z"),2,AND(Tabela_SP4_nst[[#This Row],[sem10.godziny]]&lt;$H$200,Tabela_SP4_nst[[#This Row],[sem10.forma]]="z"),1,TRUE,""),"")</f>
        <v/>
      </c>
      <c r="AM154" s="185" t="str">
        <f>IF(Tabela_SP4[[#This Row],[sem10.forma]]&lt;&gt;"",Tabela_SP4[[#This Row],[sem10.forma]],"")</f>
        <v/>
      </c>
      <c r="AN154" s="186">
        <f>SUM(Tabela_SP4_nst[[#This Row],[sem1.ects]],Tabela_SP4_nst[[#This Row],[sem2.ects]],Tabela_SP4_nst[[#This Row],[sem3.ects]],Tabela_SP4_nst[[#This Row],[sem4.ects]],Tabela_SP4_nst[[#This Row],[sem5.ects]],Tabela_SP4_nst[[#This Row],[sem6.ects]],Tabela_SP4_nst[[#This Row],[sem7.ects]],Tabela_SP4_nst[[#This Row],[sem8.ects]],Tabela_SP4_nst[[#This Row],[sem9.ects]],Tabela_SP4_nst[[#This Row],[sem10.ects]])</f>
        <v>0</v>
      </c>
      <c r="AO154" s="187">
        <f>IF(ISERR(SEARCH("UP",Tabela_SP4_nst[[#This Row],[Umiej.prakt.]],1)),0,Tabela_SP4_nst[[#This Row],[ects.razem]])</f>
        <v>0</v>
      </c>
      <c r="AP154" s="188">
        <f>IF(Tabela_SP4_nst[[#This Row],[czy.ects]]="TAK",ROUND((SUM(Tabela_SP4_nst[[#This Row],[godziny.konsultacja]],Tabela_SP4_nst[[#This Row],[godziny.egzamin]],Tabela_SP4_nst[[#This Row],[godziny.zajec.razem]])/25)/0.5,0)*0.5,0)</f>
        <v>0</v>
      </c>
      <c r="AQ154" s="310">
        <f>SUM(Tabela_SP4_nst[[#This Row],[godziny.samoksztalcenie]],Tabela_SP4_nst[[#This Row],[godziny.konsultacja]],Tabela_SP4_nst[[#This Row],[godziny.egzamin]],Tabela_SP4_nst[[#This Row],[godziny.zajec.razem]])</f>
        <v>0</v>
      </c>
      <c r="AR154" s="226">
        <f>Tabela_SP4[[#This Row],[godziny.samoksztalcenie]]+(Tabela_SP4[[#This Row],[godziny.zajec.razem]]-Tabela_SP4_nst[[#This Row],[godziny.zajec.razem]])</f>
        <v>0</v>
      </c>
      <c r="AS154" s="189">
        <f>Tabela_SP4[[#This Row],[godziny.konsultacja]]</f>
        <v>0</v>
      </c>
      <c r="AT154" s="228">
        <f>Tabela_SP4[[#This Row],[godziny.egzamin]]</f>
        <v>0</v>
      </c>
      <c r="AU154" s="190">
        <f>SUM(Tabela_SP4_nst[[#This Row],[sem1.godziny]],Tabela_SP4_nst[[#This Row],[sem2.godziny]],Tabela_SP4_nst[[#This Row],[sem3.godziny]],Tabela_SP4_nst[[#This Row],[sem4.godziny]],Tabela_SP4_nst[[#This Row],[sem5.godziny]],Tabela_SP4_nst[[#This Row],[sem6.godziny]],Tabela_SP4_nst[[#This Row],[sem7.godziny]],Tabela_SP4_nst[[#This Row],[sem8.godziny]],Tabela_SP4_nst[[#This Row],[sem9.godziny]],Tabela_SP4_nst[[#This Row],[sem10.godziny]])</f>
        <v>0</v>
      </c>
      <c r="AV154" s="334">
        <f>IF(Tabela_SP4_nst[[#This Row],[ects.bezposr.nauczyciel]],Tabela_SP4_nst[[#This Row],[ects.bezposr.nauczyciel]]/Tabela_SP4_nst[[#This Row],[ects.razem]],0)</f>
        <v>0</v>
      </c>
      <c r="AW154" s="207"/>
    </row>
    <row r="155" spans="1:49" ht="8.25" hidden="1" customHeight="1" thickBot="1" x14ac:dyDescent="0.35">
      <c r="A155" s="207"/>
      <c r="B155" s="77"/>
      <c r="C155" s="49"/>
      <c r="D155" s="49"/>
      <c r="E155" s="49"/>
      <c r="F155" s="7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78"/>
      <c r="R155" s="49"/>
      <c r="S155" s="49"/>
      <c r="T155" s="49"/>
      <c r="U155" s="49"/>
      <c r="V155" s="49"/>
      <c r="W155" s="49"/>
      <c r="X155" s="49"/>
      <c r="Y155" s="49"/>
      <c r="Z155" s="49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207"/>
      <c r="AP155" s="207"/>
      <c r="AQ155" s="207"/>
      <c r="AR155" s="207"/>
      <c r="AS155" s="207"/>
      <c r="AT155" s="207"/>
      <c r="AU155" s="207"/>
      <c r="AV155" s="207"/>
      <c r="AW155" s="207"/>
    </row>
    <row r="156" spans="1:49" ht="25.5" hidden="1" customHeight="1" thickBot="1" x14ac:dyDescent="0.35">
      <c r="A156" s="207"/>
      <c r="B156" s="790" t="str">
        <f>'PLAN ST'!B156</f>
        <v>RAZEM W GRUPIE SPECJALNOŚCI: SP5</v>
      </c>
      <c r="C156" s="791"/>
      <c r="D156" s="791"/>
      <c r="E156" s="791"/>
      <c r="F156" s="791"/>
      <c r="G156" s="791"/>
      <c r="H156" s="791"/>
      <c r="I156" s="791"/>
      <c r="J156" s="98">
        <f>SUM(Tabela_SP5_nst[sem1.godziny])</f>
        <v>0</v>
      </c>
      <c r="K156" s="98">
        <f>SUM(Tabela_SP5_nst[sem1.ects])</f>
        <v>0</v>
      </c>
      <c r="L156" s="98"/>
      <c r="M156" s="98">
        <f>SUM(Tabela_SP5_nst[sem2.godziny])</f>
        <v>0</v>
      </c>
      <c r="N156" s="98">
        <f>SUM(Tabela_SP5_nst[sem2.ects])</f>
        <v>0</v>
      </c>
      <c r="O156" s="98"/>
      <c r="P156" s="98">
        <f>SUM(Tabela_SP5_nst[sem3.godziny])</f>
        <v>0</v>
      </c>
      <c r="Q156" s="98">
        <f>SUM(Tabela_SP5_nst[sem3.ects])</f>
        <v>0</v>
      </c>
      <c r="R156" s="98"/>
      <c r="S156" s="98">
        <f>SUM(Tabela_SP5_nst[sem4.godziny])</f>
        <v>0</v>
      </c>
      <c r="T156" s="98">
        <f>SUM(Tabela_SP5_nst[sem4.ects])</f>
        <v>0</v>
      </c>
      <c r="U156" s="98"/>
      <c r="V156" s="98">
        <f>SUM(Tabela_SP5_nst[sem5.godziny])</f>
        <v>0</v>
      </c>
      <c r="W156" s="98">
        <f>SUM(Tabela_SP5_nst[sem5.ects])</f>
        <v>0</v>
      </c>
      <c r="X156" s="98"/>
      <c r="Y156" s="98">
        <f>SUM(Tabela_SP5_nst[sem6.godziny])</f>
        <v>0</v>
      </c>
      <c r="Z156" s="98">
        <f>SUM(Tabela_SP5_nst[sem6.ects])</f>
        <v>0</v>
      </c>
      <c r="AA156" s="98"/>
      <c r="AB156" s="98">
        <f>SUM(Tabela_SP5_nst[sem7.godziny])</f>
        <v>0</v>
      </c>
      <c r="AC156" s="98">
        <f>SUM(Tabela_SP5_nst[sem7.ects])</f>
        <v>0</v>
      </c>
      <c r="AD156" s="98"/>
      <c r="AE156" s="98">
        <f>SUM(Tabela_SP5_nst[sem8.godziny])</f>
        <v>0</v>
      </c>
      <c r="AF156" s="98">
        <f>SUM(Tabela_SP5_nst[sem8.ects])</f>
        <v>0</v>
      </c>
      <c r="AG156" s="98"/>
      <c r="AH156" s="98">
        <f>SUM(Tabela_SP5_nst[sem9.godziny])</f>
        <v>0</v>
      </c>
      <c r="AI156" s="98">
        <f>SUM(Tabela_SP5_nst[sem9.ects])</f>
        <v>0</v>
      </c>
      <c r="AJ156" s="98"/>
      <c r="AK156" s="98">
        <f>SUM(Tabela_SP5_nst[sem10.godziny])</f>
        <v>0</v>
      </c>
      <c r="AL156" s="98">
        <f>SUM(Tabela_SP5_nst[sem10.ects])</f>
        <v>0</v>
      </c>
      <c r="AM156" s="98"/>
      <c r="AN156" s="98">
        <f>SUM(Tabela_SP5_nst[ects.razem])</f>
        <v>0</v>
      </c>
      <c r="AO156" s="98">
        <f>SUM(Tabela_SP5_nst[ects.umiej.prakt.])</f>
        <v>0</v>
      </c>
      <c r="AP156" s="98">
        <f>SUM(Tabela_SP5_nst[ects.bezposr.nauczyciel])</f>
        <v>0</v>
      </c>
      <c r="AQ156" s="98">
        <f>SUM(Tabela_SP5_nst[godziny.razem.student])</f>
        <v>0</v>
      </c>
      <c r="AR156" s="98">
        <f>SUM(Tabela_SP5_nst[godziny.samoksztalcenie])</f>
        <v>0</v>
      </c>
      <c r="AS156" s="98">
        <f>SUM(Tabela_SP5_nst[godziny.konsultacja])</f>
        <v>0</v>
      </c>
      <c r="AT156" s="98">
        <f>SUM(Tabela_SP5_nst[godziny.egzamin])</f>
        <v>0</v>
      </c>
      <c r="AU156" s="98">
        <f>SUM(Tabela_SP5_nst[godziny.zajec.razem])</f>
        <v>0</v>
      </c>
      <c r="AV156" s="6"/>
      <c r="AW156" s="207"/>
    </row>
    <row r="157" spans="1:49" ht="25.5" hidden="1" customHeight="1" x14ac:dyDescent="0.3">
      <c r="A157" s="207"/>
      <c r="B157" s="147" t="s">
        <v>374</v>
      </c>
      <c r="C157" s="148" t="s">
        <v>373</v>
      </c>
      <c r="D157" s="148" t="s">
        <v>372</v>
      </c>
      <c r="E157" s="148" t="s">
        <v>371</v>
      </c>
      <c r="F157" s="305" t="s">
        <v>368</v>
      </c>
      <c r="G157" s="306" t="s">
        <v>369</v>
      </c>
      <c r="H157" s="149" t="s">
        <v>370</v>
      </c>
      <c r="I157" s="150" t="s">
        <v>375</v>
      </c>
      <c r="J157" s="80" t="s">
        <v>376</v>
      </c>
      <c r="K157" s="80" t="s">
        <v>377</v>
      </c>
      <c r="L157" s="80" t="s">
        <v>378</v>
      </c>
      <c r="M157" s="81" t="s">
        <v>379</v>
      </c>
      <c r="N157" s="81" t="s">
        <v>380</v>
      </c>
      <c r="O157" s="81" t="s">
        <v>381</v>
      </c>
      <c r="P157" s="151" t="s">
        <v>382</v>
      </c>
      <c r="Q157" s="82" t="s">
        <v>383</v>
      </c>
      <c r="R157" s="151" t="s">
        <v>384</v>
      </c>
      <c r="S157" s="83" t="s">
        <v>385</v>
      </c>
      <c r="T157" s="83" t="s">
        <v>386</v>
      </c>
      <c r="U157" s="83" t="s">
        <v>387</v>
      </c>
      <c r="V157" s="84" t="s">
        <v>388</v>
      </c>
      <c r="W157" s="84" t="s">
        <v>389</v>
      </c>
      <c r="X157" s="84" t="s">
        <v>390</v>
      </c>
      <c r="Y157" s="85" t="s">
        <v>391</v>
      </c>
      <c r="Z157" s="85" t="s">
        <v>392</v>
      </c>
      <c r="AA157" s="85" t="s">
        <v>393</v>
      </c>
      <c r="AB157" s="86" t="s">
        <v>394</v>
      </c>
      <c r="AC157" s="86" t="s">
        <v>395</v>
      </c>
      <c r="AD157" s="86" t="s">
        <v>396</v>
      </c>
      <c r="AE157" s="99" t="s">
        <v>409</v>
      </c>
      <c r="AF157" s="99" t="s">
        <v>410</v>
      </c>
      <c r="AG157" s="99" t="s">
        <v>411</v>
      </c>
      <c r="AH157" s="100" t="s">
        <v>412</v>
      </c>
      <c r="AI157" s="100" t="s">
        <v>413</v>
      </c>
      <c r="AJ157" s="100" t="s">
        <v>414</v>
      </c>
      <c r="AK157" s="101" t="s">
        <v>415</v>
      </c>
      <c r="AL157" s="101" t="s">
        <v>416</v>
      </c>
      <c r="AM157" s="101" t="s">
        <v>417</v>
      </c>
      <c r="AN157" s="87" t="s">
        <v>397</v>
      </c>
      <c r="AO157" s="88" t="s">
        <v>398</v>
      </c>
      <c r="AP157" s="89" t="s">
        <v>399</v>
      </c>
      <c r="AQ157" s="211" t="s">
        <v>400</v>
      </c>
      <c r="AR157" s="90" t="s">
        <v>401</v>
      </c>
      <c r="AS157" s="91" t="s">
        <v>402</v>
      </c>
      <c r="AT157" s="80" t="s">
        <v>403</v>
      </c>
      <c r="AU157" s="92" t="s">
        <v>404</v>
      </c>
      <c r="AV157" s="212" t="s">
        <v>405</v>
      </c>
      <c r="AW157" s="207"/>
    </row>
    <row r="158" spans="1:49" ht="25.5" hidden="1" customHeight="1" x14ac:dyDescent="0.3">
      <c r="A158" s="207"/>
      <c r="B158" s="333" t="str">
        <f>IF(Tabela_SP5[[#This Row],[kod.isced]]&lt;&gt;"",Tabela_SP5[[#This Row],[kod.isced]],"")</f>
        <v/>
      </c>
      <c r="C158" s="193" t="str">
        <f>IF(Tabela_SP5[[#This Row],[kod.dziedziny]]&lt;&gt;"",Tabela_SP5[[#This Row],[kod.dziedziny]],"")</f>
        <v/>
      </c>
      <c r="D158" s="193" t="str">
        <f>IF(Tabela_SP5[[#This Row],[Modul]]&lt;&gt;"",Tabela_SP5[[#This Row],[Modul]],"")</f>
        <v/>
      </c>
      <c r="E158" s="193" t="str">
        <f>IF(Tabela_SP5[[#This Row],[Umiej.prakt.]]&lt;&gt;"",Tabela_SP5[[#This Row],[Umiej.prakt.]],"")</f>
        <v/>
      </c>
      <c r="F158" s="308" t="str">
        <f>IF(Tabela_SP5[[#This Row],[Nazwa przedmiotu]]&lt;&gt;"",Tabela_SP5[[#This Row],[Nazwa przedmiotu]],"")</f>
        <v/>
      </c>
      <c r="G158" s="309" t="str">
        <f>IF(Tabela_SP5[[#This Row],[Prowadzacy]]&lt;&gt;"",Tabela_SP5[[#This Row],[Prowadzacy]],"")</f>
        <v/>
      </c>
      <c r="H158" s="155" t="str">
        <f>IF(Tabela_SP5[[#This Row],[Forma]]&lt;&gt;"",Tabela_SP5[[#This Row],[Forma]],"")</f>
        <v/>
      </c>
      <c r="I158" s="156" t="str">
        <f>IF(Tabela_SP5[[#This Row],[czy.ects]]&lt;&gt;"",Tabela_SP5[[#This Row],[czy.ects]],"")</f>
        <v/>
      </c>
      <c r="J158" s="356" t="str" cm="1">
        <f t="array" ref="J158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58" s="356" t="str" cm="1">
        <f t="array" ref="K158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58" s="356" t="str">
        <f>IF(Tabela_SP5[[#This Row],[sem1.forma]]&lt;&gt;"",Tabela_SP5[[#This Row],[sem1.forma]],"")</f>
        <v/>
      </c>
      <c r="M158" s="357" t="str" cm="1">
        <f t="array" ref="M158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58" s="357" t="str" cm="1">
        <f t="array" ref="N158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58" s="357" t="str">
        <f>IF(Tabela_SP5[[#This Row],[sem2.forma]]&lt;&gt;"",Tabela_SP5[[#This Row],[sem2.forma]],"")</f>
        <v/>
      </c>
      <c r="P158" s="358" t="str" cm="1">
        <f t="array" ref="P158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58" s="359" t="str" cm="1">
        <f t="array" ref="Q158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58" s="358" t="str">
        <f>IF(Tabela_SP5[[#This Row],[sem3.forma]]&lt;&gt;"",Tabela_SP5[[#This Row],[sem3.forma]],"")</f>
        <v/>
      </c>
      <c r="S158" s="355" t="str" cm="1">
        <f t="array" ref="S158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58" s="355" t="str" cm="1">
        <f t="array" ref="T158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58" s="355" t="str">
        <f>IF(Tabela_SP5[[#This Row],[sem4.forma]]&lt;&gt;"",Tabela_SP5[[#This Row],[sem4.forma]],"")</f>
        <v/>
      </c>
      <c r="V158" s="180" t="str" cm="1">
        <f t="array" ref="V158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58" s="180" t="str" cm="1">
        <f t="array" ref="W158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58" s="180" t="str">
        <f>IF(Tabela_SP5[[#This Row],[sem5.forma]]&lt;&gt;"",Tabela_SP5[[#This Row],[sem5.forma]],"")</f>
        <v/>
      </c>
      <c r="Y158" s="181" t="str" cm="1">
        <f t="array" ref="Y158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58" s="181" t="str" cm="1">
        <f t="array" ref="Z158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58" s="181" t="str">
        <f>IF(Tabela_SP5[[#This Row],[sem6.forma]]&lt;&gt;"",Tabela_SP5[[#This Row],[sem6.forma]],"")</f>
        <v/>
      </c>
      <c r="AB158" s="182" t="str" cm="1">
        <f t="array" ref="AB158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58" s="182" t="str" cm="1">
        <f t="array" ref="AC158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58" s="182" t="str">
        <f>IF(Tabela_SP5[[#This Row],[sem7.forma]]&lt;&gt;"",Tabela_SP5[[#This Row],[sem7.forma]],"")</f>
        <v/>
      </c>
      <c r="AE158" s="183" t="str" cm="1">
        <f t="array" ref="AE158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58" s="183" t="str" cm="1">
        <f t="array" ref="AF158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58" s="183" t="str">
        <f>IF(Tabela_SP5[[#This Row],[sem8.forma]]&lt;&gt;"",Tabela_SP5[[#This Row],[sem8.forma]],"")</f>
        <v/>
      </c>
      <c r="AH158" s="184" t="str" cm="1">
        <f t="array" ref="AH158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58" s="184" t="str" cm="1">
        <f t="array" ref="AI158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58" s="184" t="str">
        <f>IF(Tabela_SP5[[#This Row],[sem9.forma]]&lt;&gt;"",Tabela_SP5[[#This Row],[sem9.forma]],"")</f>
        <v/>
      </c>
      <c r="AK158" s="185" t="str" cm="1">
        <f t="array" ref="AK158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58" s="185" t="str" cm="1">
        <f t="array" ref="AL158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58" s="185" t="str">
        <f>IF(Tabela_SP5[[#This Row],[sem10.forma]]&lt;&gt;"",Tabela_SP5[[#This Row],[sem10.forma]],"")</f>
        <v/>
      </c>
      <c r="AN158" s="186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58" s="187">
        <f>IF(ISERR(SEARCH("UP",Tabela_SP5_nst[[#This Row],[Umiej.prakt.]],1)),0,Tabela_SP5_nst[[#This Row],[ects.razem]])</f>
        <v>0</v>
      </c>
      <c r="AP158" s="188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58" s="310">
        <f>SUM(Tabela_SP5_nst[[#This Row],[godziny.samoksztalcenie]],Tabela_SP5_nst[[#This Row],[godziny.konsultacja]],Tabela_SP5_nst[[#This Row],[godziny.egzamin]],Tabela_SP5_nst[[#This Row],[godziny.zajec.razem]])</f>
        <v>0</v>
      </c>
      <c r="AR158" s="311">
        <f>Tabela_SP5[[#This Row],[godziny.samoksztalcenie]]+(Tabela_SP5[[#This Row],[godziny.zajec.razem]]-Tabela_SP5_nst[[#This Row],[godziny.zajec.razem]])</f>
        <v>0</v>
      </c>
      <c r="AS158" s="189">
        <f>Tabela_SP5[[#This Row],[godziny.konsultacja]]</f>
        <v>0</v>
      </c>
      <c r="AT158" s="179">
        <f>Tabela_SP5[[#This Row],[godziny.egzamin]]</f>
        <v>0</v>
      </c>
      <c r="AU158" s="190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58" s="334">
        <f>IF(Tabela_SP5_nst[[#This Row],[ects.bezposr.nauczyciel]],Tabela_SP5_nst[[#This Row],[ects.bezposr.nauczyciel]]/Tabela_SP5_nst[[#This Row],[ects.razem]],0)</f>
        <v>0</v>
      </c>
      <c r="AW158" s="207"/>
    </row>
    <row r="159" spans="1:49" ht="25.5" hidden="1" customHeight="1" x14ac:dyDescent="0.3">
      <c r="A159" s="207"/>
      <c r="B159" s="333" t="str">
        <f>IF(Tabela_SP5[[#This Row],[kod.isced]]&lt;&gt;"",Tabela_SP5[[#This Row],[kod.isced]],"")</f>
        <v/>
      </c>
      <c r="C159" s="193" t="str">
        <f>IF(Tabela_SP5[[#This Row],[kod.dziedziny]]&lt;&gt;"",Tabela_SP5[[#This Row],[kod.dziedziny]],"")</f>
        <v/>
      </c>
      <c r="D159" s="193" t="str">
        <f>IF(Tabela_SP5[[#This Row],[Modul]]&lt;&gt;"",Tabela_SP5[[#This Row],[Modul]],"")</f>
        <v/>
      </c>
      <c r="E159" s="193" t="str">
        <f>IF(Tabela_SP5[[#This Row],[Umiej.prakt.]]&lt;&gt;"",Tabela_SP5[[#This Row],[Umiej.prakt.]],"")</f>
        <v/>
      </c>
      <c r="F159" s="308" t="str">
        <f>IF(Tabela_SP5[[#This Row],[Nazwa przedmiotu]]&lt;&gt;"",Tabela_SP5[[#This Row],[Nazwa przedmiotu]],"")</f>
        <v/>
      </c>
      <c r="G159" s="309" t="str">
        <f>IF(Tabela_SP5[[#This Row],[Prowadzacy]]&lt;&gt;"",Tabela_SP5[[#This Row],[Prowadzacy]],"")</f>
        <v/>
      </c>
      <c r="H159" s="155" t="str">
        <f>IF(Tabela_SP5[[#This Row],[Forma]]&lt;&gt;"",Tabela_SP5[[#This Row],[Forma]],"")</f>
        <v/>
      </c>
      <c r="I159" s="156" t="str">
        <f>IF(Tabela_SP5[[#This Row],[czy.ects]]&lt;&gt;"",Tabela_SP5[[#This Row],[czy.ects]],"")</f>
        <v/>
      </c>
      <c r="J159" s="356" t="str" cm="1">
        <f t="array" ref="J159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59" s="356" t="str" cm="1">
        <f t="array" ref="K159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59" s="356" t="str">
        <f>IF(Tabela_SP5[[#This Row],[sem1.forma]]&lt;&gt;"",Tabela_SP5[[#This Row],[sem1.forma]],"")</f>
        <v/>
      </c>
      <c r="M159" s="357" t="str" cm="1">
        <f t="array" ref="M159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59" s="357" t="str" cm="1">
        <f t="array" ref="N159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59" s="357" t="str">
        <f>IF(Tabela_SP5[[#This Row],[sem2.forma]]&lt;&gt;"",Tabela_SP5[[#This Row],[sem2.forma]],"")</f>
        <v/>
      </c>
      <c r="P159" s="358" t="str" cm="1">
        <f t="array" ref="P159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59" s="359" t="str" cm="1">
        <f t="array" ref="Q159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59" s="358" t="str">
        <f>IF(Tabela_SP5[[#This Row],[sem3.forma]]&lt;&gt;"",Tabela_SP5[[#This Row],[sem3.forma]],"")</f>
        <v/>
      </c>
      <c r="S159" s="355" t="str" cm="1">
        <f t="array" ref="S159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59" s="355" t="str" cm="1">
        <f t="array" ref="T159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59" s="355" t="str">
        <f>IF(Tabela_SP5[[#This Row],[sem4.forma]]&lt;&gt;"",Tabela_SP5[[#This Row],[sem4.forma]],"")</f>
        <v/>
      </c>
      <c r="V159" s="180" t="str" cm="1">
        <f t="array" ref="V159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59" s="180" t="str" cm="1">
        <f t="array" ref="W159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59" s="180" t="str">
        <f>IF(Tabela_SP5[[#This Row],[sem5.forma]]&lt;&gt;"",Tabela_SP5[[#This Row],[sem5.forma]],"")</f>
        <v/>
      </c>
      <c r="Y159" s="181" t="str" cm="1">
        <f t="array" ref="Y159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59" s="181" t="str" cm="1">
        <f t="array" ref="Z159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59" s="181" t="str">
        <f>IF(Tabela_SP5[[#This Row],[sem6.forma]]&lt;&gt;"",Tabela_SP5[[#This Row],[sem6.forma]],"")</f>
        <v/>
      </c>
      <c r="AB159" s="182" t="str" cm="1">
        <f t="array" ref="AB159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59" s="182" t="str" cm="1">
        <f t="array" ref="AC159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59" s="182" t="str">
        <f>IF(Tabela_SP5[[#This Row],[sem7.forma]]&lt;&gt;"",Tabela_SP5[[#This Row],[sem7.forma]],"")</f>
        <v/>
      </c>
      <c r="AE159" s="183" t="str" cm="1">
        <f t="array" ref="AE159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59" s="183" t="str" cm="1">
        <f t="array" ref="AF159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59" s="183" t="str">
        <f>IF(Tabela_SP5[[#This Row],[sem8.forma]]&lt;&gt;"",Tabela_SP5[[#This Row],[sem8.forma]],"")</f>
        <v/>
      </c>
      <c r="AH159" s="184" t="str" cm="1">
        <f t="array" ref="AH159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59" s="184" t="str" cm="1">
        <f t="array" ref="AI159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59" s="184" t="str">
        <f>IF(Tabela_SP5[[#This Row],[sem9.forma]]&lt;&gt;"",Tabela_SP5[[#This Row],[sem9.forma]],"")</f>
        <v/>
      </c>
      <c r="AK159" s="185" t="str" cm="1">
        <f t="array" ref="AK159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59" s="185" t="str" cm="1">
        <f t="array" ref="AL159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59" s="185" t="str">
        <f>IF(Tabela_SP5[[#This Row],[sem10.forma]]&lt;&gt;"",Tabela_SP5[[#This Row],[sem10.forma]],"")</f>
        <v/>
      </c>
      <c r="AN159" s="186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59" s="187">
        <f>IF(ISERR(SEARCH("UP",Tabela_SP5_nst[[#This Row],[Umiej.prakt.]],1)),0,Tabela_SP5_nst[[#This Row],[ects.razem]])</f>
        <v>0</v>
      </c>
      <c r="AP159" s="188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59" s="310">
        <f>SUM(Tabela_SP5_nst[[#This Row],[godziny.samoksztalcenie]],Tabela_SP5_nst[[#This Row],[godziny.konsultacja]],Tabela_SP5_nst[[#This Row],[godziny.egzamin]],Tabela_SP5_nst[[#This Row],[godziny.zajec.razem]])</f>
        <v>0</v>
      </c>
      <c r="AR159" s="311">
        <f>Tabela_SP5[[#This Row],[godziny.samoksztalcenie]]+(Tabela_SP5[[#This Row],[godziny.zajec.razem]]-Tabela_SP5_nst[[#This Row],[godziny.zajec.razem]])</f>
        <v>0</v>
      </c>
      <c r="AS159" s="189">
        <f>Tabela_SP5[[#This Row],[godziny.konsultacja]]</f>
        <v>0</v>
      </c>
      <c r="AT159" s="179">
        <f>Tabela_SP5[[#This Row],[godziny.egzamin]]</f>
        <v>0</v>
      </c>
      <c r="AU159" s="190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59" s="334">
        <f>IF(Tabela_SP5_nst[[#This Row],[ects.bezposr.nauczyciel]],Tabela_SP5_nst[[#This Row],[ects.bezposr.nauczyciel]]/Tabela_SP5_nst[[#This Row],[ects.razem]],0)</f>
        <v>0</v>
      </c>
      <c r="AW159" s="207"/>
    </row>
    <row r="160" spans="1:49" ht="25.5" hidden="1" customHeight="1" x14ac:dyDescent="0.3">
      <c r="A160" s="207"/>
      <c r="B160" s="448" t="str">
        <f>IF(Tabela_SP5[[#This Row],[kod.isced]]&lt;&gt;"",Tabela_SP5[[#This Row],[kod.isced]],"")</f>
        <v/>
      </c>
      <c r="C160" s="437" t="str">
        <f>IF(Tabela_SP5[[#This Row],[kod.dziedziny]]&lt;&gt;"",Tabela_SP5[[#This Row],[kod.dziedziny]],"")</f>
        <v/>
      </c>
      <c r="D160" s="437" t="str">
        <f>IF(Tabela_SP5[[#This Row],[Modul]]&lt;&gt;"",Tabela_SP5[[#This Row],[Modul]],"")</f>
        <v/>
      </c>
      <c r="E160" s="437" t="str">
        <f>IF(Tabela_SP5[[#This Row],[Umiej.prakt.]]&lt;&gt;"",Tabela_SP5[[#This Row],[Umiej.prakt.]],"")</f>
        <v/>
      </c>
      <c r="F160" s="438" t="str">
        <f>IF(Tabela_SP5[[#This Row],[Nazwa przedmiotu]]&lt;&gt;"",Tabela_SP5[[#This Row],[Nazwa przedmiotu]],"")</f>
        <v/>
      </c>
      <c r="G160" s="439" t="str">
        <f>IF(Tabela_SP5[[#This Row],[Prowadzacy]]&lt;&gt;"",Tabela_SP5[[#This Row],[Prowadzacy]],"")</f>
        <v/>
      </c>
      <c r="H160" s="440" t="str">
        <f>IF(Tabela_SP5[[#This Row],[Forma]]&lt;&gt;"",Tabela_SP5[[#This Row],[Forma]],"")</f>
        <v/>
      </c>
      <c r="I160" s="441" t="str">
        <f>IF(Tabela_SP5[[#This Row],[czy.ects]]&lt;&gt;"",Tabela_SP5[[#This Row],[czy.ects]],"")</f>
        <v/>
      </c>
      <c r="J160" s="356" t="str" cm="1">
        <f t="array" ref="J160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0" s="356" t="str" cm="1">
        <f t="array" ref="K160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0" s="356" t="str">
        <f>IF(Tabela_SP5[[#This Row],[sem1.forma]]&lt;&gt;"",Tabela_SP5[[#This Row],[sem1.forma]],"")</f>
        <v/>
      </c>
      <c r="M160" s="357" t="str" cm="1">
        <f t="array" ref="M160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0" s="357" t="str" cm="1">
        <f t="array" ref="N160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0" s="357" t="str">
        <f>IF(Tabela_SP5[[#This Row],[sem2.forma]]&lt;&gt;"",Tabela_SP5[[#This Row],[sem2.forma]],"")</f>
        <v/>
      </c>
      <c r="P160" s="358" t="str" cm="1">
        <f t="array" ref="P160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0" s="359" t="str" cm="1">
        <f t="array" ref="Q160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0" s="358" t="str">
        <f>IF(Tabela_SP5[[#This Row],[sem3.forma]]&lt;&gt;"",Tabela_SP5[[#This Row],[sem3.forma]],"")</f>
        <v/>
      </c>
      <c r="S160" s="355" t="str" cm="1">
        <f t="array" ref="S160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0" s="355" t="str" cm="1">
        <f t="array" ref="T160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0" s="355" t="str">
        <f>IF(Tabela_SP5[[#This Row],[sem4.forma]]&lt;&gt;"",Tabela_SP5[[#This Row],[sem4.forma]],"")</f>
        <v/>
      </c>
      <c r="V160" s="180" t="str" cm="1">
        <f t="array" ref="V160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0" s="180" t="str" cm="1">
        <f t="array" ref="W160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0" s="180" t="str">
        <f>IF(Tabela_SP5[[#This Row],[sem5.forma]]&lt;&gt;"",Tabela_SP5[[#This Row],[sem5.forma]],"")</f>
        <v/>
      </c>
      <c r="Y160" s="181" t="str" cm="1">
        <f t="array" ref="Y160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0" s="181" t="str" cm="1">
        <f t="array" ref="Z160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0" s="181" t="str">
        <f>IF(Tabela_SP5[[#This Row],[sem6.forma]]&lt;&gt;"",Tabela_SP5[[#This Row],[sem6.forma]],"")</f>
        <v/>
      </c>
      <c r="AB160" s="182" t="str" cm="1">
        <f t="array" ref="AB160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0" s="182" t="str" cm="1">
        <f t="array" ref="AC160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0" s="182" t="str">
        <f>IF(Tabela_SP5[[#This Row],[sem7.forma]]&lt;&gt;"",Tabela_SP5[[#This Row],[sem7.forma]],"")</f>
        <v/>
      </c>
      <c r="AE160" s="183" t="str" cm="1">
        <f t="array" ref="AE160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0" s="183" t="str" cm="1">
        <f t="array" ref="AF160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0" s="183" t="str">
        <f>IF(Tabela_SP5[[#This Row],[sem8.forma]]&lt;&gt;"",Tabela_SP5[[#This Row],[sem8.forma]],"")</f>
        <v/>
      </c>
      <c r="AH160" s="184" t="str" cm="1">
        <f t="array" ref="AH160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0" s="184" t="str" cm="1">
        <f t="array" ref="AI160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0" s="184" t="str">
        <f>IF(Tabela_SP5[[#This Row],[sem9.forma]]&lt;&gt;"",Tabela_SP5[[#This Row],[sem9.forma]],"")</f>
        <v/>
      </c>
      <c r="AK160" s="185" t="str" cm="1">
        <f t="array" ref="AK160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0" s="185" t="str" cm="1">
        <f t="array" ref="AL160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0" s="185" t="str">
        <f>IF(Tabela_SP5[[#This Row],[sem10.forma]]&lt;&gt;"",Tabela_SP5[[#This Row],[sem10.forma]],"")</f>
        <v/>
      </c>
      <c r="AN160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0" s="449">
        <f>IF(ISERR(SEARCH("UP",Tabela_SP5_nst[[#This Row],[Umiej.prakt.]],1)),0,Tabela_SP5_nst[[#This Row],[ects.razem]])</f>
        <v>0</v>
      </c>
      <c r="AP160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0" s="451">
        <f>SUM(Tabela_SP5_nst[[#This Row],[godziny.samoksztalcenie]],Tabela_SP5_nst[[#This Row],[godziny.konsultacja]],Tabela_SP5_nst[[#This Row],[godziny.egzamin]],Tabela_SP5_nst[[#This Row],[godziny.zajec.razem]])</f>
        <v>0</v>
      </c>
      <c r="AR160" s="452">
        <f>Tabela_SP5[[#This Row],[godziny.samoksztalcenie]]+(Tabela_SP5[[#This Row],[godziny.zajec.razem]]-Tabela_SP5_nst[[#This Row],[godziny.zajec.razem]])</f>
        <v>0</v>
      </c>
      <c r="AS160" s="453">
        <f>Tabela_SP5[[#This Row],[godziny.konsultacja]]</f>
        <v>0</v>
      </c>
      <c r="AT160" s="369">
        <f>Tabela_SP5[[#This Row],[godziny.egzamin]]</f>
        <v>0</v>
      </c>
      <c r="AU160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0" s="455">
        <f>IF(Tabela_SP5_nst[[#This Row],[ects.bezposr.nauczyciel]],Tabela_SP5_nst[[#This Row],[ects.bezposr.nauczyciel]]/Tabela_SP5_nst[[#This Row],[ects.razem]],0)</f>
        <v>0</v>
      </c>
      <c r="AW160" s="207"/>
    </row>
    <row r="161" spans="1:49" ht="25.5" hidden="1" customHeight="1" x14ac:dyDescent="0.3">
      <c r="A161" s="207"/>
      <c r="B161" s="448" t="str">
        <f>IF(Tabela_SP5[[#This Row],[kod.isced]]&lt;&gt;"",Tabela_SP5[[#This Row],[kod.isced]],"")</f>
        <v/>
      </c>
      <c r="C161" s="437" t="str">
        <f>IF(Tabela_SP5[[#This Row],[kod.dziedziny]]&lt;&gt;"",Tabela_SP5[[#This Row],[kod.dziedziny]],"")</f>
        <v/>
      </c>
      <c r="D161" s="437" t="str">
        <f>IF(Tabela_SP5[[#This Row],[Modul]]&lt;&gt;"",Tabela_SP5[[#This Row],[Modul]],"")</f>
        <v/>
      </c>
      <c r="E161" s="437" t="str">
        <f>IF(Tabela_SP5[[#This Row],[Umiej.prakt.]]&lt;&gt;"",Tabela_SP5[[#This Row],[Umiej.prakt.]],"")</f>
        <v/>
      </c>
      <c r="F161" s="438" t="str">
        <f>IF(Tabela_SP5[[#This Row],[Nazwa przedmiotu]]&lt;&gt;"",Tabela_SP5[[#This Row],[Nazwa przedmiotu]],"")</f>
        <v/>
      </c>
      <c r="G161" s="439" t="str">
        <f>IF(Tabela_SP5[[#This Row],[Prowadzacy]]&lt;&gt;"",Tabela_SP5[[#This Row],[Prowadzacy]],"")</f>
        <v/>
      </c>
      <c r="H161" s="440" t="str">
        <f>IF(Tabela_SP5[[#This Row],[Forma]]&lt;&gt;"",Tabela_SP5[[#This Row],[Forma]],"")</f>
        <v/>
      </c>
      <c r="I161" s="441" t="str">
        <f>IF(Tabela_SP5[[#This Row],[czy.ects]]&lt;&gt;"",Tabela_SP5[[#This Row],[czy.ects]],"")</f>
        <v/>
      </c>
      <c r="J161" s="356" t="str" cm="1">
        <f t="array" ref="J161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1" s="356" t="str" cm="1">
        <f t="array" ref="K161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1" s="356" t="str">
        <f>IF(Tabela_SP5[[#This Row],[sem1.forma]]&lt;&gt;"",Tabela_SP5[[#This Row],[sem1.forma]],"")</f>
        <v/>
      </c>
      <c r="M161" s="357" t="str" cm="1">
        <f t="array" ref="M161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1" s="357" t="str" cm="1">
        <f t="array" ref="N161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1" s="357" t="str">
        <f>IF(Tabela_SP5[[#This Row],[sem2.forma]]&lt;&gt;"",Tabela_SP5[[#This Row],[sem2.forma]],"")</f>
        <v/>
      </c>
      <c r="P161" s="358" t="str" cm="1">
        <f t="array" ref="P161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1" s="359" t="str" cm="1">
        <f t="array" ref="Q161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1" s="358" t="str">
        <f>IF(Tabela_SP5[[#This Row],[sem3.forma]]&lt;&gt;"",Tabela_SP5[[#This Row],[sem3.forma]],"")</f>
        <v/>
      </c>
      <c r="S161" s="355" t="str" cm="1">
        <f t="array" ref="S161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1" s="355" t="str" cm="1">
        <f t="array" ref="T161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1" s="355" t="str">
        <f>IF(Tabela_SP5[[#This Row],[sem4.forma]]&lt;&gt;"",Tabela_SP5[[#This Row],[sem4.forma]],"")</f>
        <v/>
      </c>
      <c r="V161" s="180" t="str" cm="1">
        <f t="array" ref="V161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1" s="180" t="str" cm="1">
        <f t="array" ref="W161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1" s="180" t="str">
        <f>IF(Tabela_SP5[[#This Row],[sem5.forma]]&lt;&gt;"",Tabela_SP5[[#This Row],[sem5.forma]],"")</f>
        <v/>
      </c>
      <c r="Y161" s="181" t="str" cm="1">
        <f t="array" ref="Y161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1" s="181" t="str" cm="1">
        <f t="array" ref="Z161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1" s="181" t="str">
        <f>IF(Tabela_SP5[[#This Row],[sem6.forma]]&lt;&gt;"",Tabela_SP5[[#This Row],[sem6.forma]],"")</f>
        <v/>
      </c>
      <c r="AB161" s="182" t="str" cm="1">
        <f t="array" ref="AB161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1" s="182" t="str" cm="1">
        <f t="array" ref="AC161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1" s="182" t="str">
        <f>IF(Tabela_SP5[[#This Row],[sem7.forma]]&lt;&gt;"",Tabela_SP5[[#This Row],[sem7.forma]],"")</f>
        <v/>
      </c>
      <c r="AE161" s="183" t="str" cm="1">
        <f t="array" ref="AE161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1" s="183" t="str" cm="1">
        <f t="array" ref="AF161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1" s="183" t="str">
        <f>IF(Tabela_SP5[[#This Row],[sem8.forma]]&lt;&gt;"",Tabela_SP5[[#This Row],[sem8.forma]],"")</f>
        <v/>
      </c>
      <c r="AH161" s="184" t="str" cm="1">
        <f t="array" ref="AH161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1" s="184" t="str" cm="1">
        <f t="array" ref="AI161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1" s="184" t="str">
        <f>IF(Tabela_SP5[[#This Row],[sem9.forma]]&lt;&gt;"",Tabela_SP5[[#This Row],[sem9.forma]],"")</f>
        <v/>
      </c>
      <c r="AK161" s="185" t="str" cm="1">
        <f t="array" ref="AK161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1" s="185" t="str" cm="1">
        <f t="array" ref="AL161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1" s="185" t="str">
        <f>IF(Tabela_SP5[[#This Row],[sem10.forma]]&lt;&gt;"",Tabela_SP5[[#This Row],[sem10.forma]],"")</f>
        <v/>
      </c>
      <c r="AN161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1" s="449">
        <f>IF(ISERR(SEARCH("UP",Tabela_SP5_nst[[#This Row],[Umiej.prakt.]],1)),0,Tabela_SP5_nst[[#This Row],[ects.razem]])</f>
        <v>0</v>
      </c>
      <c r="AP161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1" s="451">
        <f>SUM(Tabela_SP5_nst[[#This Row],[godziny.samoksztalcenie]],Tabela_SP5_nst[[#This Row],[godziny.konsultacja]],Tabela_SP5_nst[[#This Row],[godziny.egzamin]],Tabela_SP5_nst[[#This Row],[godziny.zajec.razem]])</f>
        <v>0</v>
      </c>
      <c r="AR161" s="452">
        <f>Tabela_SP5[[#This Row],[godziny.samoksztalcenie]]+(Tabela_SP5[[#This Row],[godziny.zajec.razem]]-Tabela_SP5_nst[[#This Row],[godziny.zajec.razem]])</f>
        <v>0</v>
      </c>
      <c r="AS161" s="453">
        <f>Tabela_SP5[[#This Row],[godziny.konsultacja]]</f>
        <v>0</v>
      </c>
      <c r="AT161" s="369">
        <f>Tabela_SP5[[#This Row],[godziny.egzamin]]</f>
        <v>0</v>
      </c>
      <c r="AU161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1" s="455">
        <f>IF(Tabela_SP5_nst[[#This Row],[ects.bezposr.nauczyciel]],Tabela_SP5_nst[[#This Row],[ects.bezposr.nauczyciel]]/Tabela_SP5_nst[[#This Row],[ects.razem]],0)</f>
        <v>0</v>
      </c>
      <c r="AW161" s="207"/>
    </row>
    <row r="162" spans="1:49" ht="25.5" hidden="1" customHeight="1" x14ac:dyDescent="0.3">
      <c r="A162" s="207"/>
      <c r="B162" s="448" t="str">
        <f>IF(Tabela_SP5[[#This Row],[kod.isced]]&lt;&gt;"",Tabela_SP5[[#This Row],[kod.isced]],"")</f>
        <v/>
      </c>
      <c r="C162" s="437" t="str">
        <f>IF(Tabela_SP5[[#This Row],[kod.dziedziny]]&lt;&gt;"",Tabela_SP5[[#This Row],[kod.dziedziny]],"")</f>
        <v/>
      </c>
      <c r="D162" s="437" t="str">
        <f>IF(Tabela_SP5[[#This Row],[Modul]]&lt;&gt;"",Tabela_SP5[[#This Row],[Modul]],"")</f>
        <v/>
      </c>
      <c r="E162" s="437" t="str">
        <f>IF(Tabela_SP5[[#This Row],[Umiej.prakt.]]&lt;&gt;"",Tabela_SP5[[#This Row],[Umiej.prakt.]],"")</f>
        <v/>
      </c>
      <c r="F162" s="438" t="str">
        <f>IF(Tabela_SP5[[#This Row],[Nazwa przedmiotu]]&lt;&gt;"",Tabela_SP5[[#This Row],[Nazwa przedmiotu]],"")</f>
        <v/>
      </c>
      <c r="G162" s="439" t="str">
        <f>IF(Tabela_SP5[[#This Row],[Prowadzacy]]&lt;&gt;"",Tabela_SP5[[#This Row],[Prowadzacy]],"")</f>
        <v/>
      </c>
      <c r="H162" s="440" t="str">
        <f>IF(Tabela_SP5[[#This Row],[Forma]]&lt;&gt;"",Tabela_SP5[[#This Row],[Forma]],"")</f>
        <v/>
      </c>
      <c r="I162" s="441" t="str">
        <f>IF(Tabela_SP5[[#This Row],[czy.ects]]&lt;&gt;"",Tabela_SP5[[#This Row],[czy.ects]],"")</f>
        <v/>
      </c>
      <c r="J162" s="356" t="str" cm="1">
        <f t="array" ref="J162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2" s="356" t="str" cm="1">
        <f t="array" ref="K162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2" s="356" t="str">
        <f>IF(Tabela_SP5[[#This Row],[sem1.forma]]&lt;&gt;"",Tabela_SP5[[#This Row],[sem1.forma]],"")</f>
        <v/>
      </c>
      <c r="M162" s="357" t="str" cm="1">
        <f t="array" ref="M162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2" s="357" t="str" cm="1">
        <f t="array" ref="N162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2" s="357" t="str">
        <f>IF(Tabela_SP5[[#This Row],[sem2.forma]]&lt;&gt;"",Tabela_SP5[[#This Row],[sem2.forma]],"")</f>
        <v/>
      </c>
      <c r="P162" s="358" t="str" cm="1">
        <f t="array" ref="P162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2" s="359" t="str" cm="1">
        <f t="array" ref="Q162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2" s="358" t="str">
        <f>IF(Tabela_SP5[[#This Row],[sem3.forma]]&lt;&gt;"",Tabela_SP5[[#This Row],[sem3.forma]],"")</f>
        <v/>
      </c>
      <c r="S162" s="355" t="str" cm="1">
        <f t="array" ref="S162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2" s="355" t="str" cm="1">
        <f t="array" ref="T162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2" s="355" t="str">
        <f>IF(Tabela_SP5[[#This Row],[sem4.forma]]&lt;&gt;"",Tabela_SP5[[#This Row],[sem4.forma]],"")</f>
        <v/>
      </c>
      <c r="V162" s="180" t="str" cm="1">
        <f t="array" ref="V162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2" s="180" t="str" cm="1">
        <f t="array" ref="W162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2" s="180" t="str">
        <f>IF(Tabela_SP5[[#This Row],[sem5.forma]]&lt;&gt;"",Tabela_SP5[[#This Row],[sem5.forma]],"")</f>
        <v/>
      </c>
      <c r="Y162" s="181" t="str" cm="1">
        <f t="array" ref="Y162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2" s="181" t="str" cm="1">
        <f t="array" ref="Z162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2" s="181" t="str">
        <f>IF(Tabela_SP5[[#This Row],[sem6.forma]]&lt;&gt;"",Tabela_SP5[[#This Row],[sem6.forma]],"")</f>
        <v/>
      </c>
      <c r="AB162" s="182" t="str" cm="1">
        <f t="array" ref="AB162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2" s="182" t="str" cm="1">
        <f t="array" ref="AC162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2" s="182" t="str">
        <f>IF(Tabela_SP5[[#This Row],[sem7.forma]]&lt;&gt;"",Tabela_SP5[[#This Row],[sem7.forma]],"")</f>
        <v/>
      </c>
      <c r="AE162" s="183" t="str" cm="1">
        <f t="array" ref="AE162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2" s="183" t="str" cm="1">
        <f t="array" ref="AF162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2" s="183" t="str">
        <f>IF(Tabela_SP5[[#This Row],[sem8.forma]]&lt;&gt;"",Tabela_SP5[[#This Row],[sem8.forma]],"")</f>
        <v/>
      </c>
      <c r="AH162" s="184" t="str" cm="1">
        <f t="array" ref="AH162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2" s="184" t="str" cm="1">
        <f t="array" ref="AI162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2" s="184" t="str">
        <f>IF(Tabela_SP5[[#This Row],[sem9.forma]]&lt;&gt;"",Tabela_SP5[[#This Row],[sem9.forma]],"")</f>
        <v/>
      </c>
      <c r="AK162" s="185" t="str" cm="1">
        <f t="array" ref="AK162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2" s="185" t="str" cm="1">
        <f t="array" ref="AL162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2" s="185" t="str">
        <f>IF(Tabela_SP5[[#This Row],[sem10.forma]]&lt;&gt;"",Tabela_SP5[[#This Row],[sem10.forma]],"")</f>
        <v/>
      </c>
      <c r="AN162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2" s="449">
        <f>IF(ISERR(SEARCH("UP",Tabela_SP5_nst[[#This Row],[Umiej.prakt.]],1)),0,Tabela_SP5_nst[[#This Row],[ects.razem]])</f>
        <v>0</v>
      </c>
      <c r="AP162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2" s="451">
        <f>SUM(Tabela_SP5_nst[[#This Row],[godziny.samoksztalcenie]],Tabela_SP5_nst[[#This Row],[godziny.konsultacja]],Tabela_SP5_nst[[#This Row],[godziny.egzamin]],Tabela_SP5_nst[[#This Row],[godziny.zajec.razem]])</f>
        <v>0</v>
      </c>
      <c r="AR162" s="452">
        <f>Tabela_SP5[[#This Row],[godziny.samoksztalcenie]]+(Tabela_SP5[[#This Row],[godziny.zajec.razem]]-Tabela_SP5_nst[[#This Row],[godziny.zajec.razem]])</f>
        <v>0</v>
      </c>
      <c r="AS162" s="453">
        <f>Tabela_SP5[[#This Row],[godziny.konsultacja]]</f>
        <v>0</v>
      </c>
      <c r="AT162" s="369">
        <f>Tabela_SP5[[#This Row],[godziny.egzamin]]</f>
        <v>0</v>
      </c>
      <c r="AU162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2" s="455">
        <f>IF(Tabela_SP5_nst[[#This Row],[ects.bezposr.nauczyciel]],Tabela_SP5_nst[[#This Row],[ects.bezposr.nauczyciel]]/Tabela_SP5_nst[[#This Row],[ects.razem]],0)</f>
        <v>0</v>
      </c>
      <c r="AW162" s="207"/>
    </row>
    <row r="163" spans="1:49" ht="25.5" hidden="1" customHeight="1" x14ac:dyDescent="0.3">
      <c r="A163" s="207"/>
      <c r="B163" s="448" t="str">
        <f>IF(Tabela_SP5[[#This Row],[kod.isced]]&lt;&gt;"",Tabela_SP5[[#This Row],[kod.isced]],"")</f>
        <v/>
      </c>
      <c r="C163" s="437" t="str">
        <f>IF(Tabela_SP5[[#This Row],[kod.dziedziny]]&lt;&gt;"",Tabela_SP5[[#This Row],[kod.dziedziny]],"")</f>
        <v/>
      </c>
      <c r="D163" s="437" t="str">
        <f>IF(Tabela_SP5[[#This Row],[Modul]]&lt;&gt;"",Tabela_SP5[[#This Row],[Modul]],"")</f>
        <v/>
      </c>
      <c r="E163" s="437" t="str">
        <f>IF(Tabela_SP5[[#This Row],[Umiej.prakt.]]&lt;&gt;"",Tabela_SP5[[#This Row],[Umiej.prakt.]],"")</f>
        <v/>
      </c>
      <c r="F163" s="438" t="str">
        <f>IF(Tabela_SP5[[#This Row],[Nazwa przedmiotu]]&lt;&gt;"",Tabela_SP5[[#This Row],[Nazwa przedmiotu]],"")</f>
        <v/>
      </c>
      <c r="G163" s="439" t="str">
        <f>IF(Tabela_SP5[[#This Row],[Prowadzacy]]&lt;&gt;"",Tabela_SP5[[#This Row],[Prowadzacy]],"")</f>
        <v/>
      </c>
      <c r="H163" s="440" t="str">
        <f>IF(Tabela_SP5[[#This Row],[Forma]]&lt;&gt;"",Tabela_SP5[[#This Row],[Forma]],"")</f>
        <v/>
      </c>
      <c r="I163" s="441" t="str">
        <f>IF(Tabela_SP5[[#This Row],[czy.ects]]&lt;&gt;"",Tabela_SP5[[#This Row],[czy.ects]],"")</f>
        <v/>
      </c>
      <c r="J163" s="356" t="str" cm="1">
        <f t="array" ref="J163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3" s="356" t="str" cm="1">
        <f t="array" ref="K163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3" s="356" t="str">
        <f>IF(Tabela_SP5[[#This Row],[sem1.forma]]&lt;&gt;"",Tabela_SP5[[#This Row],[sem1.forma]],"")</f>
        <v/>
      </c>
      <c r="M163" s="357" t="str" cm="1">
        <f t="array" ref="M163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3" s="357" t="str" cm="1">
        <f t="array" ref="N163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3" s="357" t="str">
        <f>IF(Tabela_SP5[[#This Row],[sem2.forma]]&lt;&gt;"",Tabela_SP5[[#This Row],[sem2.forma]],"")</f>
        <v/>
      </c>
      <c r="P163" s="358" t="str" cm="1">
        <f t="array" ref="P163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3" s="359" t="str" cm="1">
        <f t="array" ref="Q163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3" s="358" t="str">
        <f>IF(Tabela_SP5[[#This Row],[sem3.forma]]&lt;&gt;"",Tabela_SP5[[#This Row],[sem3.forma]],"")</f>
        <v/>
      </c>
      <c r="S163" s="355" t="str" cm="1">
        <f t="array" ref="S163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3" s="355" t="str" cm="1">
        <f t="array" ref="T163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3" s="355" t="str">
        <f>IF(Tabela_SP5[[#This Row],[sem4.forma]]&lt;&gt;"",Tabela_SP5[[#This Row],[sem4.forma]],"")</f>
        <v/>
      </c>
      <c r="V163" s="180" t="str" cm="1">
        <f t="array" ref="V163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3" s="180" t="str" cm="1">
        <f t="array" ref="W163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3" s="180" t="str">
        <f>IF(Tabela_SP5[[#This Row],[sem5.forma]]&lt;&gt;"",Tabela_SP5[[#This Row],[sem5.forma]],"")</f>
        <v/>
      </c>
      <c r="Y163" s="181" t="str" cm="1">
        <f t="array" ref="Y163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3" s="181" t="str" cm="1">
        <f t="array" ref="Z163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3" s="181" t="str">
        <f>IF(Tabela_SP5[[#This Row],[sem6.forma]]&lt;&gt;"",Tabela_SP5[[#This Row],[sem6.forma]],"")</f>
        <v/>
      </c>
      <c r="AB163" s="182" t="str" cm="1">
        <f t="array" ref="AB163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3" s="182" t="str" cm="1">
        <f t="array" ref="AC163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3" s="182" t="str">
        <f>IF(Tabela_SP5[[#This Row],[sem7.forma]]&lt;&gt;"",Tabela_SP5[[#This Row],[sem7.forma]],"")</f>
        <v/>
      </c>
      <c r="AE163" s="183" t="str" cm="1">
        <f t="array" ref="AE163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3" s="183" t="str" cm="1">
        <f t="array" ref="AF163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3" s="183" t="str">
        <f>IF(Tabela_SP5[[#This Row],[sem8.forma]]&lt;&gt;"",Tabela_SP5[[#This Row],[sem8.forma]],"")</f>
        <v/>
      </c>
      <c r="AH163" s="184" t="str" cm="1">
        <f t="array" ref="AH163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3" s="184" t="str" cm="1">
        <f t="array" ref="AI163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3" s="184" t="str">
        <f>IF(Tabela_SP5[[#This Row],[sem9.forma]]&lt;&gt;"",Tabela_SP5[[#This Row],[sem9.forma]],"")</f>
        <v/>
      </c>
      <c r="AK163" s="185" t="str" cm="1">
        <f t="array" ref="AK163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3" s="185" t="str" cm="1">
        <f t="array" ref="AL163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3" s="185" t="str">
        <f>IF(Tabela_SP5[[#This Row],[sem10.forma]]&lt;&gt;"",Tabela_SP5[[#This Row],[sem10.forma]],"")</f>
        <v/>
      </c>
      <c r="AN163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3" s="449">
        <f>IF(ISERR(SEARCH("UP",Tabela_SP5_nst[[#This Row],[Umiej.prakt.]],1)),0,Tabela_SP5_nst[[#This Row],[ects.razem]])</f>
        <v>0</v>
      </c>
      <c r="AP163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3" s="451">
        <f>SUM(Tabela_SP5_nst[[#This Row],[godziny.samoksztalcenie]],Tabela_SP5_nst[[#This Row],[godziny.konsultacja]],Tabela_SP5_nst[[#This Row],[godziny.egzamin]],Tabela_SP5_nst[[#This Row],[godziny.zajec.razem]])</f>
        <v>0</v>
      </c>
      <c r="AR163" s="452">
        <f>Tabela_SP5[[#This Row],[godziny.samoksztalcenie]]+(Tabela_SP5[[#This Row],[godziny.zajec.razem]]-Tabela_SP5_nst[[#This Row],[godziny.zajec.razem]])</f>
        <v>0</v>
      </c>
      <c r="AS163" s="453">
        <f>Tabela_SP5[[#This Row],[godziny.konsultacja]]</f>
        <v>0</v>
      </c>
      <c r="AT163" s="369">
        <f>Tabela_SP5[[#This Row],[godziny.egzamin]]</f>
        <v>0</v>
      </c>
      <c r="AU163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3" s="455">
        <f>IF(Tabela_SP5_nst[[#This Row],[ects.bezposr.nauczyciel]],Tabela_SP5_nst[[#This Row],[ects.bezposr.nauczyciel]]/Tabela_SP5_nst[[#This Row],[ects.razem]],0)</f>
        <v>0</v>
      </c>
      <c r="AW163" s="207"/>
    </row>
    <row r="164" spans="1:49" ht="25.5" hidden="1" customHeight="1" x14ac:dyDescent="0.3">
      <c r="A164" s="207"/>
      <c r="B164" s="448" t="str">
        <f>IF(Tabela_SP5[[#This Row],[kod.isced]]&lt;&gt;"",Tabela_SP5[[#This Row],[kod.isced]],"")</f>
        <v/>
      </c>
      <c r="C164" s="437" t="str">
        <f>IF(Tabela_SP5[[#This Row],[kod.dziedziny]]&lt;&gt;"",Tabela_SP5[[#This Row],[kod.dziedziny]],"")</f>
        <v/>
      </c>
      <c r="D164" s="437" t="str">
        <f>IF(Tabela_SP5[[#This Row],[Modul]]&lt;&gt;"",Tabela_SP5[[#This Row],[Modul]],"")</f>
        <v/>
      </c>
      <c r="E164" s="437" t="str">
        <f>IF(Tabela_SP5[[#This Row],[Umiej.prakt.]]&lt;&gt;"",Tabela_SP5[[#This Row],[Umiej.prakt.]],"")</f>
        <v/>
      </c>
      <c r="F164" s="438" t="str">
        <f>IF(Tabela_SP5[[#This Row],[Nazwa przedmiotu]]&lt;&gt;"",Tabela_SP5[[#This Row],[Nazwa przedmiotu]],"")</f>
        <v/>
      </c>
      <c r="G164" s="439" t="str">
        <f>IF(Tabela_SP5[[#This Row],[Prowadzacy]]&lt;&gt;"",Tabela_SP5[[#This Row],[Prowadzacy]],"")</f>
        <v/>
      </c>
      <c r="H164" s="440" t="str">
        <f>IF(Tabela_SP5[[#This Row],[Forma]]&lt;&gt;"",Tabela_SP5[[#This Row],[Forma]],"")</f>
        <v/>
      </c>
      <c r="I164" s="441" t="str">
        <f>IF(Tabela_SP5[[#This Row],[czy.ects]]&lt;&gt;"",Tabela_SP5[[#This Row],[czy.ects]],"")</f>
        <v/>
      </c>
      <c r="J164" s="356" t="str" cm="1">
        <f t="array" ref="J164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4" s="356" t="str" cm="1">
        <f t="array" ref="K164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4" s="356" t="str">
        <f>IF(Tabela_SP5[[#This Row],[sem1.forma]]&lt;&gt;"",Tabela_SP5[[#This Row],[sem1.forma]],"")</f>
        <v/>
      </c>
      <c r="M164" s="357" t="str" cm="1">
        <f t="array" ref="M164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4" s="357" t="str" cm="1">
        <f t="array" ref="N164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4" s="357" t="str">
        <f>IF(Tabela_SP5[[#This Row],[sem2.forma]]&lt;&gt;"",Tabela_SP5[[#This Row],[sem2.forma]],"")</f>
        <v/>
      </c>
      <c r="P164" s="358" t="str" cm="1">
        <f t="array" ref="P164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4" s="359" t="str" cm="1">
        <f t="array" ref="Q164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4" s="358" t="str">
        <f>IF(Tabela_SP5[[#This Row],[sem3.forma]]&lt;&gt;"",Tabela_SP5[[#This Row],[sem3.forma]],"")</f>
        <v/>
      </c>
      <c r="S164" s="355" t="str" cm="1">
        <f t="array" ref="S164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4" s="355" t="str" cm="1">
        <f t="array" ref="T164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4" s="355" t="str">
        <f>IF(Tabela_SP5[[#This Row],[sem4.forma]]&lt;&gt;"",Tabela_SP5[[#This Row],[sem4.forma]],"")</f>
        <v/>
      </c>
      <c r="V164" s="180" t="str" cm="1">
        <f t="array" ref="V164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4" s="180" t="str" cm="1">
        <f t="array" ref="W164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4" s="180" t="str">
        <f>IF(Tabela_SP5[[#This Row],[sem5.forma]]&lt;&gt;"",Tabela_SP5[[#This Row],[sem5.forma]],"")</f>
        <v/>
      </c>
      <c r="Y164" s="181" t="str" cm="1">
        <f t="array" ref="Y164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4" s="181" t="str" cm="1">
        <f t="array" ref="Z164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4" s="181" t="str">
        <f>IF(Tabela_SP5[[#This Row],[sem6.forma]]&lt;&gt;"",Tabela_SP5[[#This Row],[sem6.forma]],"")</f>
        <v/>
      </c>
      <c r="AB164" s="182" t="str" cm="1">
        <f t="array" ref="AB164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4" s="182" t="str" cm="1">
        <f t="array" ref="AC164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4" s="182" t="str">
        <f>IF(Tabela_SP5[[#This Row],[sem7.forma]]&lt;&gt;"",Tabela_SP5[[#This Row],[sem7.forma]],"")</f>
        <v/>
      </c>
      <c r="AE164" s="183" t="str" cm="1">
        <f t="array" ref="AE164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4" s="183" t="str" cm="1">
        <f t="array" ref="AF164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4" s="183" t="str">
        <f>IF(Tabela_SP5[[#This Row],[sem8.forma]]&lt;&gt;"",Tabela_SP5[[#This Row],[sem8.forma]],"")</f>
        <v/>
      </c>
      <c r="AH164" s="184" t="str" cm="1">
        <f t="array" ref="AH164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4" s="184" t="str" cm="1">
        <f t="array" ref="AI164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4" s="184" t="str">
        <f>IF(Tabela_SP5[[#This Row],[sem9.forma]]&lt;&gt;"",Tabela_SP5[[#This Row],[sem9.forma]],"")</f>
        <v/>
      </c>
      <c r="AK164" s="185" t="str" cm="1">
        <f t="array" ref="AK164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4" s="185" t="str" cm="1">
        <f t="array" ref="AL164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4" s="185" t="str">
        <f>IF(Tabela_SP5[[#This Row],[sem10.forma]]&lt;&gt;"",Tabela_SP5[[#This Row],[sem10.forma]],"")</f>
        <v/>
      </c>
      <c r="AN164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4" s="449">
        <f>IF(ISERR(SEARCH("UP",Tabela_SP5_nst[[#This Row],[Umiej.prakt.]],1)),0,Tabela_SP5_nst[[#This Row],[ects.razem]])</f>
        <v>0</v>
      </c>
      <c r="AP164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4" s="451">
        <f>SUM(Tabela_SP5_nst[[#This Row],[godziny.samoksztalcenie]],Tabela_SP5_nst[[#This Row],[godziny.konsultacja]],Tabela_SP5_nst[[#This Row],[godziny.egzamin]],Tabela_SP5_nst[[#This Row],[godziny.zajec.razem]])</f>
        <v>0</v>
      </c>
      <c r="AR164" s="452">
        <f>Tabela_SP5[[#This Row],[godziny.samoksztalcenie]]+(Tabela_SP5[[#This Row],[godziny.zajec.razem]]-Tabela_SP5_nst[[#This Row],[godziny.zajec.razem]])</f>
        <v>0</v>
      </c>
      <c r="AS164" s="453">
        <f>Tabela_SP5[[#This Row],[godziny.konsultacja]]</f>
        <v>0</v>
      </c>
      <c r="AT164" s="369">
        <f>Tabela_SP5[[#This Row],[godziny.egzamin]]</f>
        <v>0</v>
      </c>
      <c r="AU164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4" s="455">
        <f>IF(Tabela_SP5_nst[[#This Row],[ects.bezposr.nauczyciel]],Tabela_SP5_nst[[#This Row],[ects.bezposr.nauczyciel]]/Tabela_SP5_nst[[#This Row],[ects.razem]],0)</f>
        <v>0</v>
      </c>
      <c r="AW164" s="207"/>
    </row>
    <row r="165" spans="1:49" ht="25.5" hidden="1" customHeight="1" x14ac:dyDescent="0.3">
      <c r="A165" s="207"/>
      <c r="B165" s="448" t="str">
        <f>IF(Tabela_SP5[[#This Row],[kod.isced]]&lt;&gt;"",Tabela_SP5[[#This Row],[kod.isced]],"")</f>
        <v/>
      </c>
      <c r="C165" s="437" t="str">
        <f>IF(Tabela_SP5[[#This Row],[kod.dziedziny]]&lt;&gt;"",Tabela_SP5[[#This Row],[kod.dziedziny]],"")</f>
        <v/>
      </c>
      <c r="D165" s="437" t="str">
        <f>IF(Tabela_SP5[[#This Row],[Modul]]&lt;&gt;"",Tabela_SP5[[#This Row],[Modul]],"")</f>
        <v/>
      </c>
      <c r="E165" s="437" t="str">
        <f>IF(Tabela_SP5[[#This Row],[Umiej.prakt.]]&lt;&gt;"",Tabela_SP5[[#This Row],[Umiej.prakt.]],"")</f>
        <v/>
      </c>
      <c r="F165" s="438" t="str">
        <f>IF(Tabela_SP5[[#This Row],[Nazwa przedmiotu]]&lt;&gt;"",Tabela_SP5[[#This Row],[Nazwa przedmiotu]],"")</f>
        <v/>
      </c>
      <c r="G165" s="439" t="str">
        <f>IF(Tabela_SP5[[#This Row],[Prowadzacy]]&lt;&gt;"",Tabela_SP5[[#This Row],[Prowadzacy]],"")</f>
        <v/>
      </c>
      <c r="H165" s="440" t="str">
        <f>IF(Tabela_SP5[[#This Row],[Forma]]&lt;&gt;"",Tabela_SP5[[#This Row],[Forma]],"")</f>
        <v/>
      </c>
      <c r="I165" s="441" t="str">
        <f>IF(Tabela_SP5[[#This Row],[czy.ects]]&lt;&gt;"",Tabela_SP5[[#This Row],[czy.ects]],"")</f>
        <v/>
      </c>
      <c r="J165" s="356" t="str" cm="1">
        <f t="array" ref="J165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5" s="356" t="str" cm="1">
        <f t="array" ref="K165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5" s="356" t="str">
        <f>IF(Tabela_SP5[[#This Row],[sem1.forma]]&lt;&gt;"",Tabela_SP5[[#This Row],[sem1.forma]],"")</f>
        <v/>
      </c>
      <c r="M165" s="357" t="str" cm="1">
        <f t="array" ref="M165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5" s="357" t="str" cm="1">
        <f t="array" ref="N165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5" s="357" t="str">
        <f>IF(Tabela_SP5[[#This Row],[sem2.forma]]&lt;&gt;"",Tabela_SP5[[#This Row],[sem2.forma]],"")</f>
        <v/>
      </c>
      <c r="P165" s="358" t="str" cm="1">
        <f t="array" ref="P165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5" s="359" t="str" cm="1">
        <f t="array" ref="Q165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5" s="358" t="str">
        <f>IF(Tabela_SP5[[#This Row],[sem3.forma]]&lt;&gt;"",Tabela_SP5[[#This Row],[sem3.forma]],"")</f>
        <v/>
      </c>
      <c r="S165" s="355" t="str" cm="1">
        <f t="array" ref="S165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5" s="355" t="str" cm="1">
        <f t="array" ref="T165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5" s="355" t="str">
        <f>IF(Tabela_SP5[[#This Row],[sem4.forma]]&lt;&gt;"",Tabela_SP5[[#This Row],[sem4.forma]],"")</f>
        <v/>
      </c>
      <c r="V165" s="180" t="str" cm="1">
        <f t="array" ref="V165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5" s="180" t="str" cm="1">
        <f t="array" ref="W165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5" s="180" t="str">
        <f>IF(Tabela_SP5[[#This Row],[sem5.forma]]&lt;&gt;"",Tabela_SP5[[#This Row],[sem5.forma]],"")</f>
        <v/>
      </c>
      <c r="Y165" s="181" t="str" cm="1">
        <f t="array" ref="Y165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5" s="181" t="str" cm="1">
        <f t="array" ref="Z165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5" s="181" t="str">
        <f>IF(Tabela_SP5[[#This Row],[sem6.forma]]&lt;&gt;"",Tabela_SP5[[#This Row],[sem6.forma]],"")</f>
        <v/>
      </c>
      <c r="AB165" s="182" t="str" cm="1">
        <f t="array" ref="AB165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5" s="182" t="str" cm="1">
        <f t="array" ref="AC165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5" s="182" t="str">
        <f>IF(Tabela_SP5[[#This Row],[sem7.forma]]&lt;&gt;"",Tabela_SP5[[#This Row],[sem7.forma]],"")</f>
        <v/>
      </c>
      <c r="AE165" s="183" t="str" cm="1">
        <f t="array" ref="AE165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5" s="183" t="str" cm="1">
        <f t="array" ref="AF165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5" s="183" t="str">
        <f>IF(Tabela_SP5[[#This Row],[sem8.forma]]&lt;&gt;"",Tabela_SP5[[#This Row],[sem8.forma]],"")</f>
        <v/>
      </c>
      <c r="AH165" s="184" t="str" cm="1">
        <f t="array" ref="AH165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5" s="184" t="str" cm="1">
        <f t="array" ref="AI165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5" s="184" t="str">
        <f>IF(Tabela_SP5[[#This Row],[sem9.forma]]&lt;&gt;"",Tabela_SP5[[#This Row],[sem9.forma]],"")</f>
        <v/>
      </c>
      <c r="AK165" s="185" t="str" cm="1">
        <f t="array" ref="AK165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5" s="185" t="str" cm="1">
        <f t="array" ref="AL165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5" s="185" t="str">
        <f>IF(Tabela_SP5[[#This Row],[sem10.forma]]&lt;&gt;"",Tabela_SP5[[#This Row],[sem10.forma]],"")</f>
        <v/>
      </c>
      <c r="AN165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5" s="449">
        <f>IF(ISERR(SEARCH("UP",Tabela_SP5_nst[[#This Row],[Umiej.prakt.]],1)),0,Tabela_SP5_nst[[#This Row],[ects.razem]])</f>
        <v>0</v>
      </c>
      <c r="AP165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5" s="451">
        <f>SUM(Tabela_SP5_nst[[#This Row],[godziny.samoksztalcenie]],Tabela_SP5_nst[[#This Row],[godziny.konsultacja]],Tabela_SP5_nst[[#This Row],[godziny.egzamin]],Tabela_SP5_nst[[#This Row],[godziny.zajec.razem]])</f>
        <v>0</v>
      </c>
      <c r="AR165" s="452">
        <f>Tabela_SP5[[#This Row],[godziny.samoksztalcenie]]+(Tabela_SP5[[#This Row],[godziny.zajec.razem]]-Tabela_SP5_nst[[#This Row],[godziny.zajec.razem]])</f>
        <v>0</v>
      </c>
      <c r="AS165" s="453">
        <f>Tabela_SP5[[#This Row],[godziny.konsultacja]]</f>
        <v>0</v>
      </c>
      <c r="AT165" s="369">
        <f>Tabela_SP5[[#This Row],[godziny.egzamin]]</f>
        <v>0</v>
      </c>
      <c r="AU165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5" s="455">
        <f>IF(Tabela_SP5_nst[[#This Row],[ects.bezposr.nauczyciel]],Tabela_SP5_nst[[#This Row],[ects.bezposr.nauczyciel]]/Tabela_SP5_nst[[#This Row],[ects.razem]],0)</f>
        <v>0</v>
      </c>
      <c r="AW165" s="207"/>
    </row>
    <row r="166" spans="1:49" ht="25.5" hidden="1" customHeight="1" x14ac:dyDescent="0.3">
      <c r="A166" s="207"/>
      <c r="B166" s="448" t="str">
        <f>IF(Tabela_SP5[[#This Row],[kod.isced]]&lt;&gt;"",Tabela_SP5[[#This Row],[kod.isced]],"")</f>
        <v/>
      </c>
      <c r="C166" s="437" t="str">
        <f>IF(Tabela_SP5[[#This Row],[kod.dziedziny]]&lt;&gt;"",Tabela_SP5[[#This Row],[kod.dziedziny]],"")</f>
        <v/>
      </c>
      <c r="D166" s="437" t="str">
        <f>IF(Tabela_SP5[[#This Row],[Modul]]&lt;&gt;"",Tabela_SP5[[#This Row],[Modul]],"")</f>
        <v/>
      </c>
      <c r="E166" s="437" t="str">
        <f>IF(Tabela_SP5[[#This Row],[Umiej.prakt.]]&lt;&gt;"",Tabela_SP5[[#This Row],[Umiej.prakt.]],"")</f>
        <v/>
      </c>
      <c r="F166" s="438" t="str">
        <f>IF(Tabela_SP5[[#This Row],[Nazwa przedmiotu]]&lt;&gt;"",Tabela_SP5[[#This Row],[Nazwa przedmiotu]],"")</f>
        <v/>
      </c>
      <c r="G166" s="439" t="str">
        <f>IF(Tabela_SP5[[#This Row],[Prowadzacy]]&lt;&gt;"",Tabela_SP5[[#This Row],[Prowadzacy]],"")</f>
        <v/>
      </c>
      <c r="H166" s="440" t="str">
        <f>IF(Tabela_SP5[[#This Row],[Forma]]&lt;&gt;"",Tabela_SP5[[#This Row],[Forma]],"")</f>
        <v/>
      </c>
      <c r="I166" s="441" t="str">
        <f>IF(Tabela_SP5[[#This Row],[czy.ects]]&lt;&gt;"",Tabela_SP5[[#This Row],[czy.ects]],"")</f>
        <v/>
      </c>
      <c r="J166" s="356" t="str" cm="1">
        <f t="array" ref="J166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6" s="356" t="str" cm="1">
        <f t="array" ref="K166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6" s="356" t="str">
        <f>IF(Tabela_SP5[[#This Row],[sem1.forma]]&lt;&gt;"",Tabela_SP5[[#This Row],[sem1.forma]],"")</f>
        <v/>
      </c>
      <c r="M166" s="357" t="str" cm="1">
        <f t="array" ref="M166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6" s="357" t="str" cm="1">
        <f t="array" ref="N166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6" s="357" t="str">
        <f>IF(Tabela_SP5[[#This Row],[sem2.forma]]&lt;&gt;"",Tabela_SP5[[#This Row],[sem2.forma]],"")</f>
        <v/>
      </c>
      <c r="P166" s="358" t="str" cm="1">
        <f t="array" ref="P166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6" s="359" t="str" cm="1">
        <f t="array" ref="Q166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6" s="358" t="str">
        <f>IF(Tabela_SP5[[#This Row],[sem3.forma]]&lt;&gt;"",Tabela_SP5[[#This Row],[sem3.forma]],"")</f>
        <v/>
      </c>
      <c r="S166" s="355" t="str" cm="1">
        <f t="array" ref="S166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6" s="355" t="str" cm="1">
        <f t="array" ref="T166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6" s="355" t="str">
        <f>IF(Tabela_SP5[[#This Row],[sem4.forma]]&lt;&gt;"",Tabela_SP5[[#This Row],[sem4.forma]],"")</f>
        <v/>
      </c>
      <c r="V166" s="180" t="str" cm="1">
        <f t="array" ref="V166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6" s="180" t="str" cm="1">
        <f t="array" ref="W166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6" s="180" t="str">
        <f>IF(Tabela_SP5[[#This Row],[sem5.forma]]&lt;&gt;"",Tabela_SP5[[#This Row],[sem5.forma]],"")</f>
        <v/>
      </c>
      <c r="Y166" s="181" t="str" cm="1">
        <f t="array" ref="Y166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6" s="181" t="str" cm="1">
        <f t="array" ref="Z166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6" s="181" t="str">
        <f>IF(Tabela_SP5[[#This Row],[sem6.forma]]&lt;&gt;"",Tabela_SP5[[#This Row],[sem6.forma]],"")</f>
        <v/>
      </c>
      <c r="AB166" s="182" t="str" cm="1">
        <f t="array" ref="AB166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6" s="182" t="str" cm="1">
        <f t="array" ref="AC166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6" s="182" t="str">
        <f>IF(Tabela_SP5[[#This Row],[sem7.forma]]&lt;&gt;"",Tabela_SP5[[#This Row],[sem7.forma]],"")</f>
        <v/>
      </c>
      <c r="AE166" s="183" t="str" cm="1">
        <f t="array" ref="AE166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6" s="183" t="str" cm="1">
        <f t="array" ref="AF166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6" s="183" t="str">
        <f>IF(Tabela_SP5[[#This Row],[sem8.forma]]&lt;&gt;"",Tabela_SP5[[#This Row],[sem8.forma]],"")</f>
        <v/>
      </c>
      <c r="AH166" s="184" t="str" cm="1">
        <f t="array" ref="AH166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6" s="184" t="str" cm="1">
        <f t="array" ref="AI166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6" s="184" t="str">
        <f>IF(Tabela_SP5[[#This Row],[sem9.forma]]&lt;&gt;"",Tabela_SP5[[#This Row],[sem9.forma]],"")</f>
        <v/>
      </c>
      <c r="AK166" s="185" t="str" cm="1">
        <f t="array" ref="AK166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6" s="185" t="str" cm="1">
        <f t="array" ref="AL166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6" s="185" t="str">
        <f>IF(Tabela_SP5[[#This Row],[sem10.forma]]&lt;&gt;"",Tabela_SP5[[#This Row],[sem10.forma]],"")</f>
        <v/>
      </c>
      <c r="AN166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6" s="449">
        <f>IF(ISERR(SEARCH("UP",Tabela_SP5_nst[[#This Row],[Umiej.prakt.]],1)),0,Tabela_SP5_nst[[#This Row],[ects.razem]])</f>
        <v>0</v>
      </c>
      <c r="AP166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6" s="451">
        <f>SUM(Tabela_SP5_nst[[#This Row],[godziny.samoksztalcenie]],Tabela_SP5_nst[[#This Row],[godziny.konsultacja]],Tabela_SP5_nst[[#This Row],[godziny.egzamin]],Tabela_SP5_nst[[#This Row],[godziny.zajec.razem]])</f>
        <v>0</v>
      </c>
      <c r="AR166" s="452">
        <f>Tabela_SP5[[#This Row],[godziny.samoksztalcenie]]+(Tabela_SP5[[#This Row],[godziny.zajec.razem]]-Tabela_SP5_nst[[#This Row],[godziny.zajec.razem]])</f>
        <v>0</v>
      </c>
      <c r="AS166" s="453">
        <f>Tabela_SP5[[#This Row],[godziny.konsultacja]]</f>
        <v>0</v>
      </c>
      <c r="AT166" s="369">
        <f>Tabela_SP5[[#This Row],[godziny.egzamin]]</f>
        <v>0</v>
      </c>
      <c r="AU166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6" s="455">
        <f>IF(Tabela_SP5_nst[[#This Row],[ects.bezposr.nauczyciel]],Tabela_SP5_nst[[#This Row],[ects.bezposr.nauczyciel]]/Tabela_SP5_nst[[#This Row],[ects.razem]],0)</f>
        <v>0</v>
      </c>
      <c r="AW166" s="207"/>
    </row>
    <row r="167" spans="1:49" ht="25.5" hidden="1" customHeight="1" x14ac:dyDescent="0.3">
      <c r="A167" s="207"/>
      <c r="B167" s="448" t="str">
        <f>IF(Tabela_SP5[[#This Row],[kod.isced]]&lt;&gt;"",Tabela_SP5[[#This Row],[kod.isced]],"")</f>
        <v/>
      </c>
      <c r="C167" s="437" t="str">
        <f>IF(Tabela_SP5[[#This Row],[kod.dziedziny]]&lt;&gt;"",Tabela_SP5[[#This Row],[kod.dziedziny]],"")</f>
        <v/>
      </c>
      <c r="D167" s="437" t="str">
        <f>IF(Tabela_SP5[[#This Row],[Modul]]&lt;&gt;"",Tabela_SP5[[#This Row],[Modul]],"")</f>
        <v/>
      </c>
      <c r="E167" s="437" t="str">
        <f>IF(Tabela_SP5[[#This Row],[Umiej.prakt.]]&lt;&gt;"",Tabela_SP5[[#This Row],[Umiej.prakt.]],"")</f>
        <v/>
      </c>
      <c r="F167" s="438" t="str">
        <f>IF(Tabela_SP5[[#This Row],[Nazwa przedmiotu]]&lt;&gt;"",Tabela_SP5[[#This Row],[Nazwa przedmiotu]],"")</f>
        <v/>
      </c>
      <c r="G167" s="439" t="str">
        <f>IF(Tabela_SP5[[#This Row],[Prowadzacy]]&lt;&gt;"",Tabela_SP5[[#This Row],[Prowadzacy]],"")</f>
        <v/>
      </c>
      <c r="H167" s="440" t="str">
        <f>IF(Tabela_SP5[[#This Row],[Forma]]&lt;&gt;"",Tabela_SP5[[#This Row],[Forma]],"")</f>
        <v/>
      </c>
      <c r="I167" s="441" t="str">
        <f>IF(Tabela_SP5[[#This Row],[czy.ects]]&lt;&gt;"",Tabela_SP5[[#This Row],[czy.ects]],"")</f>
        <v/>
      </c>
      <c r="J167" s="356" t="str" cm="1">
        <f t="array" ref="J167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7" s="356" t="str" cm="1">
        <f t="array" ref="K167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7" s="356" t="str">
        <f>IF(Tabela_SP5[[#This Row],[sem1.forma]]&lt;&gt;"",Tabela_SP5[[#This Row],[sem1.forma]],"")</f>
        <v/>
      </c>
      <c r="M167" s="357" t="str" cm="1">
        <f t="array" ref="M167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7" s="357" t="str" cm="1">
        <f t="array" ref="N167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7" s="357" t="str">
        <f>IF(Tabela_SP5[[#This Row],[sem2.forma]]&lt;&gt;"",Tabela_SP5[[#This Row],[sem2.forma]],"")</f>
        <v/>
      </c>
      <c r="P167" s="358" t="str" cm="1">
        <f t="array" ref="P167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7" s="359" t="str" cm="1">
        <f t="array" ref="Q167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7" s="358" t="str">
        <f>IF(Tabela_SP5[[#This Row],[sem3.forma]]&lt;&gt;"",Tabela_SP5[[#This Row],[sem3.forma]],"")</f>
        <v/>
      </c>
      <c r="S167" s="355" t="str" cm="1">
        <f t="array" ref="S167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7" s="355" t="str" cm="1">
        <f t="array" ref="T167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7" s="355" t="str">
        <f>IF(Tabela_SP5[[#This Row],[sem4.forma]]&lt;&gt;"",Tabela_SP5[[#This Row],[sem4.forma]],"")</f>
        <v/>
      </c>
      <c r="V167" s="180" t="str" cm="1">
        <f t="array" ref="V167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7" s="180" t="str" cm="1">
        <f t="array" ref="W167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7" s="180" t="str">
        <f>IF(Tabela_SP5[[#This Row],[sem5.forma]]&lt;&gt;"",Tabela_SP5[[#This Row],[sem5.forma]],"")</f>
        <v/>
      </c>
      <c r="Y167" s="181" t="str" cm="1">
        <f t="array" ref="Y167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7" s="181" t="str" cm="1">
        <f t="array" ref="Z167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7" s="181" t="str">
        <f>IF(Tabela_SP5[[#This Row],[sem6.forma]]&lt;&gt;"",Tabela_SP5[[#This Row],[sem6.forma]],"")</f>
        <v/>
      </c>
      <c r="AB167" s="182" t="str" cm="1">
        <f t="array" ref="AB167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7" s="182" t="str" cm="1">
        <f t="array" ref="AC167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7" s="182" t="str">
        <f>IF(Tabela_SP5[[#This Row],[sem7.forma]]&lt;&gt;"",Tabela_SP5[[#This Row],[sem7.forma]],"")</f>
        <v/>
      </c>
      <c r="AE167" s="183" t="str" cm="1">
        <f t="array" ref="AE167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7" s="183" t="str" cm="1">
        <f t="array" ref="AF167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7" s="183" t="str">
        <f>IF(Tabela_SP5[[#This Row],[sem8.forma]]&lt;&gt;"",Tabela_SP5[[#This Row],[sem8.forma]],"")</f>
        <v/>
      </c>
      <c r="AH167" s="184" t="str" cm="1">
        <f t="array" ref="AH167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7" s="184" t="str" cm="1">
        <f t="array" ref="AI167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7" s="184" t="str">
        <f>IF(Tabela_SP5[[#This Row],[sem9.forma]]&lt;&gt;"",Tabela_SP5[[#This Row],[sem9.forma]],"")</f>
        <v/>
      </c>
      <c r="AK167" s="185" t="str" cm="1">
        <f t="array" ref="AK167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7" s="185" t="str" cm="1">
        <f t="array" ref="AL167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7" s="185" t="str">
        <f>IF(Tabela_SP5[[#This Row],[sem10.forma]]&lt;&gt;"",Tabela_SP5[[#This Row],[sem10.forma]],"")</f>
        <v/>
      </c>
      <c r="AN167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7" s="449">
        <f>IF(ISERR(SEARCH("UP",Tabela_SP5_nst[[#This Row],[Umiej.prakt.]],1)),0,Tabela_SP5_nst[[#This Row],[ects.razem]])</f>
        <v>0</v>
      </c>
      <c r="AP167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7" s="451">
        <f>SUM(Tabela_SP5_nst[[#This Row],[godziny.samoksztalcenie]],Tabela_SP5_nst[[#This Row],[godziny.konsultacja]],Tabela_SP5_nst[[#This Row],[godziny.egzamin]],Tabela_SP5_nst[[#This Row],[godziny.zajec.razem]])</f>
        <v>0</v>
      </c>
      <c r="AR167" s="452">
        <f>Tabela_SP5[[#This Row],[godziny.samoksztalcenie]]+(Tabela_SP5[[#This Row],[godziny.zajec.razem]]-Tabela_SP5_nst[[#This Row],[godziny.zajec.razem]])</f>
        <v>0</v>
      </c>
      <c r="AS167" s="453">
        <f>Tabela_SP5[[#This Row],[godziny.konsultacja]]</f>
        <v>0</v>
      </c>
      <c r="AT167" s="369">
        <f>Tabela_SP5[[#This Row],[godziny.egzamin]]</f>
        <v>0</v>
      </c>
      <c r="AU167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7" s="455">
        <f>IF(Tabela_SP5_nst[[#This Row],[ects.bezposr.nauczyciel]],Tabela_SP5_nst[[#This Row],[ects.bezposr.nauczyciel]]/Tabela_SP5_nst[[#This Row],[ects.razem]],0)</f>
        <v>0</v>
      </c>
      <c r="AW167" s="207"/>
    </row>
    <row r="168" spans="1:49" ht="25.5" hidden="1" customHeight="1" x14ac:dyDescent="0.3">
      <c r="A168" s="207"/>
      <c r="B168" s="448" t="str">
        <f>IF(Tabela_SP5[[#This Row],[kod.isced]]&lt;&gt;"",Tabela_SP5[[#This Row],[kod.isced]],"")</f>
        <v/>
      </c>
      <c r="C168" s="437" t="str">
        <f>IF(Tabela_SP5[[#This Row],[kod.dziedziny]]&lt;&gt;"",Tabela_SP5[[#This Row],[kod.dziedziny]],"")</f>
        <v/>
      </c>
      <c r="D168" s="437" t="str">
        <f>IF(Tabela_SP5[[#This Row],[Modul]]&lt;&gt;"",Tabela_SP5[[#This Row],[Modul]],"")</f>
        <v/>
      </c>
      <c r="E168" s="437" t="str">
        <f>IF(Tabela_SP5[[#This Row],[Umiej.prakt.]]&lt;&gt;"",Tabela_SP5[[#This Row],[Umiej.prakt.]],"")</f>
        <v/>
      </c>
      <c r="F168" s="438" t="str">
        <f>IF(Tabela_SP5[[#This Row],[Nazwa przedmiotu]]&lt;&gt;"",Tabela_SP5[[#This Row],[Nazwa przedmiotu]],"")</f>
        <v/>
      </c>
      <c r="G168" s="439" t="str">
        <f>IF(Tabela_SP5[[#This Row],[Prowadzacy]]&lt;&gt;"",Tabela_SP5[[#This Row],[Prowadzacy]],"")</f>
        <v/>
      </c>
      <c r="H168" s="440" t="str">
        <f>IF(Tabela_SP5[[#This Row],[Forma]]&lt;&gt;"",Tabela_SP5[[#This Row],[Forma]],"")</f>
        <v/>
      </c>
      <c r="I168" s="441" t="str">
        <f>IF(Tabela_SP5[[#This Row],[czy.ects]]&lt;&gt;"",Tabela_SP5[[#This Row],[czy.ects]],"")</f>
        <v/>
      </c>
      <c r="J168" s="356" t="str" cm="1">
        <f t="array" ref="J168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8" s="356" t="str" cm="1">
        <f t="array" ref="K168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8" s="356" t="str">
        <f>IF(Tabela_SP5[[#This Row],[sem1.forma]]&lt;&gt;"",Tabela_SP5[[#This Row],[sem1.forma]],"")</f>
        <v/>
      </c>
      <c r="M168" s="357" t="str" cm="1">
        <f t="array" ref="M168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8" s="357" t="str" cm="1">
        <f t="array" ref="N168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8" s="357" t="str">
        <f>IF(Tabela_SP5[[#This Row],[sem2.forma]]&lt;&gt;"",Tabela_SP5[[#This Row],[sem2.forma]],"")</f>
        <v/>
      </c>
      <c r="P168" s="358" t="str" cm="1">
        <f t="array" ref="P168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8" s="359" t="str" cm="1">
        <f t="array" ref="Q168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8" s="358" t="str">
        <f>IF(Tabela_SP5[[#This Row],[sem3.forma]]&lt;&gt;"",Tabela_SP5[[#This Row],[sem3.forma]],"")</f>
        <v/>
      </c>
      <c r="S168" s="355" t="str" cm="1">
        <f t="array" ref="S168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8" s="355" t="str" cm="1">
        <f t="array" ref="T168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8" s="355" t="str">
        <f>IF(Tabela_SP5[[#This Row],[sem4.forma]]&lt;&gt;"",Tabela_SP5[[#This Row],[sem4.forma]],"")</f>
        <v/>
      </c>
      <c r="V168" s="180" t="str" cm="1">
        <f t="array" ref="V168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8" s="180" t="str" cm="1">
        <f t="array" ref="W168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8" s="180" t="str">
        <f>IF(Tabela_SP5[[#This Row],[sem5.forma]]&lt;&gt;"",Tabela_SP5[[#This Row],[sem5.forma]],"")</f>
        <v/>
      </c>
      <c r="Y168" s="181" t="str" cm="1">
        <f t="array" ref="Y168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8" s="181" t="str" cm="1">
        <f t="array" ref="Z168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8" s="181" t="str">
        <f>IF(Tabela_SP5[[#This Row],[sem6.forma]]&lt;&gt;"",Tabela_SP5[[#This Row],[sem6.forma]],"")</f>
        <v/>
      </c>
      <c r="AB168" s="182" t="str" cm="1">
        <f t="array" ref="AB168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8" s="182" t="str" cm="1">
        <f t="array" ref="AC168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8" s="182" t="str">
        <f>IF(Tabela_SP5[[#This Row],[sem7.forma]]&lt;&gt;"",Tabela_SP5[[#This Row],[sem7.forma]],"")</f>
        <v/>
      </c>
      <c r="AE168" s="183" t="str" cm="1">
        <f t="array" ref="AE168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8" s="183" t="str" cm="1">
        <f t="array" ref="AF168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8" s="183" t="str">
        <f>IF(Tabela_SP5[[#This Row],[sem8.forma]]&lt;&gt;"",Tabela_SP5[[#This Row],[sem8.forma]],"")</f>
        <v/>
      </c>
      <c r="AH168" s="184" t="str" cm="1">
        <f t="array" ref="AH168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8" s="184" t="str" cm="1">
        <f t="array" ref="AI168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8" s="184" t="str">
        <f>IF(Tabela_SP5[[#This Row],[sem9.forma]]&lt;&gt;"",Tabela_SP5[[#This Row],[sem9.forma]],"")</f>
        <v/>
      </c>
      <c r="AK168" s="185" t="str" cm="1">
        <f t="array" ref="AK168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8" s="185" t="str" cm="1">
        <f t="array" ref="AL168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8" s="185" t="str">
        <f>IF(Tabela_SP5[[#This Row],[sem10.forma]]&lt;&gt;"",Tabela_SP5[[#This Row],[sem10.forma]],"")</f>
        <v/>
      </c>
      <c r="AN168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8" s="449">
        <f>IF(ISERR(SEARCH("UP",Tabela_SP5_nst[[#This Row],[Umiej.prakt.]],1)),0,Tabela_SP5_nst[[#This Row],[ects.razem]])</f>
        <v>0</v>
      </c>
      <c r="AP168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8" s="451">
        <f>SUM(Tabela_SP5_nst[[#This Row],[godziny.samoksztalcenie]],Tabela_SP5_nst[[#This Row],[godziny.konsultacja]],Tabela_SP5_nst[[#This Row],[godziny.egzamin]],Tabela_SP5_nst[[#This Row],[godziny.zajec.razem]])</f>
        <v>0</v>
      </c>
      <c r="AR168" s="452">
        <f>Tabela_SP5[[#This Row],[godziny.samoksztalcenie]]+(Tabela_SP5[[#This Row],[godziny.zajec.razem]]-Tabela_SP5_nst[[#This Row],[godziny.zajec.razem]])</f>
        <v>0</v>
      </c>
      <c r="AS168" s="453">
        <f>Tabela_SP5[[#This Row],[godziny.konsultacja]]</f>
        <v>0</v>
      </c>
      <c r="AT168" s="369">
        <f>Tabela_SP5[[#This Row],[godziny.egzamin]]</f>
        <v>0</v>
      </c>
      <c r="AU168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8" s="455">
        <f>IF(Tabela_SP5_nst[[#This Row],[ects.bezposr.nauczyciel]],Tabela_SP5_nst[[#This Row],[ects.bezposr.nauczyciel]]/Tabela_SP5_nst[[#This Row],[ects.razem]],0)</f>
        <v>0</v>
      </c>
      <c r="AW168" s="207"/>
    </row>
    <row r="169" spans="1:49" ht="25.5" hidden="1" customHeight="1" x14ac:dyDescent="0.3">
      <c r="A169" s="207"/>
      <c r="B169" s="448" t="str">
        <f>IF(Tabela_SP5[[#This Row],[kod.isced]]&lt;&gt;"",Tabela_SP5[[#This Row],[kod.isced]],"")</f>
        <v/>
      </c>
      <c r="C169" s="437" t="str">
        <f>IF(Tabela_SP5[[#This Row],[kod.dziedziny]]&lt;&gt;"",Tabela_SP5[[#This Row],[kod.dziedziny]],"")</f>
        <v/>
      </c>
      <c r="D169" s="437" t="str">
        <f>IF(Tabela_SP5[[#This Row],[Modul]]&lt;&gt;"",Tabela_SP5[[#This Row],[Modul]],"")</f>
        <v/>
      </c>
      <c r="E169" s="437" t="str">
        <f>IF(Tabela_SP5[[#This Row],[Umiej.prakt.]]&lt;&gt;"",Tabela_SP5[[#This Row],[Umiej.prakt.]],"")</f>
        <v/>
      </c>
      <c r="F169" s="438" t="str">
        <f>IF(Tabela_SP5[[#This Row],[Nazwa przedmiotu]]&lt;&gt;"",Tabela_SP5[[#This Row],[Nazwa przedmiotu]],"")</f>
        <v/>
      </c>
      <c r="G169" s="439" t="str">
        <f>IF(Tabela_SP5[[#This Row],[Prowadzacy]]&lt;&gt;"",Tabela_SP5[[#This Row],[Prowadzacy]],"")</f>
        <v/>
      </c>
      <c r="H169" s="440" t="str">
        <f>IF(Tabela_SP5[[#This Row],[Forma]]&lt;&gt;"",Tabela_SP5[[#This Row],[Forma]],"")</f>
        <v/>
      </c>
      <c r="I169" s="441" t="str">
        <f>IF(Tabela_SP5[[#This Row],[czy.ects]]&lt;&gt;"",Tabela_SP5[[#This Row],[czy.ects]],"")</f>
        <v/>
      </c>
      <c r="J169" s="356" t="str" cm="1">
        <f t="array" ref="J169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69" s="356" t="str" cm="1">
        <f t="array" ref="K169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69" s="356" t="str">
        <f>IF(Tabela_SP5[[#This Row],[sem1.forma]]&lt;&gt;"",Tabela_SP5[[#This Row],[sem1.forma]],"")</f>
        <v/>
      </c>
      <c r="M169" s="357" t="str" cm="1">
        <f t="array" ref="M169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69" s="357" t="str" cm="1">
        <f t="array" ref="N169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69" s="357" t="str">
        <f>IF(Tabela_SP5[[#This Row],[sem2.forma]]&lt;&gt;"",Tabela_SP5[[#This Row],[sem2.forma]],"")</f>
        <v/>
      </c>
      <c r="P169" s="358" t="str" cm="1">
        <f t="array" ref="P169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69" s="359" t="str" cm="1">
        <f t="array" ref="Q169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69" s="358" t="str">
        <f>IF(Tabela_SP5[[#This Row],[sem3.forma]]&lt;&gt;"",Tabela_SP5[[#This Row],[sem3.forma]],"")</f>
        <v/>
      </c>
      <c r="S169" s="355" t="str" cm="1">
        <f t="array" ref="S169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69" s="355" t="str" cm="1">
        <f t="array" ref="T169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69" s="355" t="str">
        <f>IF(Tabela_SP5[[#This Row],[sem4.forma]]&lt;&gt;"",Tabela_SP5[[#This Row],[sem4.forma]],"")</f>
        <v/>
      </c>
      <c r="V169" s="180" t="str" cm="1">
        <f t="array" ref="V169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69" s="180" t="str" cm="1">
        <f t="array" ref="W169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69" s="180" t="str">
        <f>IF(Tabela_SP5[[#This Row],[sem5.forma]]&lt;&gt;"",Tabela_SP5[[#This Row],[sem5.forma]],"")</f>
        <v/>
      </c>
      <c r="Y169" s="181" t="str" cm="1">
        <f t="array" ref="Y169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69" s="181" t="str" cm="1">
        <f t="array" ref="Z169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69" s="181" t="str">
        <f>IF(Tabela_SP5[[#This Row],[sem6.forma]]&lt;&gt;"",Tabela_SP5[[#This Row],[sem6.forma]],"")</f>
        <v/>
      </c>
      <c r="AB169" s="182" t="str" cm="1">
        <f t="array" ref="AB169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69" s="182" t="str" cm="1">
        <f t="array" ref="AC169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69" s="182" t="str">
        <f>IF(Tabela_SP5[[#This Row],[sem7.forma]]&lt;&gt;"",Tabela_SP5[[#This Row],[sem7.forma]],"")</f>
        <v/>
      </c>
      <c r="AE169" s="183" t="str" cm="1">
        <f t="array" ref="AE169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69" s="183" t="str" cm="1">
        <f t="array" ref="AF169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69" s="183" t="str">
        <f>IF(Tabela_SP5[[#This Row],[sem8.forma]]&lt;&gt;"",Tabela_SP5[[#This Row],[sem8.forma]],"")</f>
        <v/>
      </c>
      <c r="AH169" s="184" t="str" cm="1">
        <f t="array" ref="AH169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69" s="184" t="str" cm="1">
        <f t="array" ref="AI169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69" s="184" t="str">
        <f>IF(Tabela_SP5[[#This Row],[sem9.forma]]&lt;&gt;"",Tabela_SP5[[#This Row],[sem9.forma]],"")</f>
        <v/>
      </c>
      <c r="AK169" s="185" t="str" cm="1">
        <f t="array" ref="AK169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69" s="185" t="str" cm="1">
        <f t="array" ref="AL169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69" s="185" t="str">
        <f>IF(Tabela_SP5[[#This Row],[sem10.forma]]&lt;&gt;"",Tabela_SP5[[#This Row],[sem10.forma]],"")</f>
        <v/>
      </c>
      <c r="AN169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69" s="449">
        <f>IF(ISERR(SEARCH("UP",Tabela_SP5_nst[[#This Row],[Umiej.prakt.]],1)),0,Tabela_SP5_nst[[#This Row],[ects.razem]])</f>
        <v>0</v>
      </c>
      <c r="AP169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69" s="451">
        <f>SUM(Tabela_SP5_nst[[#This Row],[godziny.samoksztalcenie]],Tabela_SP5_nst[[#This Row],[godziny.konsultacja]],Tabela_SP5_nst[[#This Row],[godziny.egzamin]],Tabela_SP5_nst[[#This Row],[godziny.zajec.razem]])</f>
        <v>0</v>
      </c>
      <c r="AR169" s="452">
        <f>Tabela_SP5[[#This Row],[godziny.samoksztalcenie]]+(Tabela_SP5[[#This Row],[godziny.zajec.razem]]-Tabela_SP5_nst[[#This Row],[godziny.zajec.razem]])</f>
        <v>0</v>
      </c>
      <c r="AS169" s="453">
        <f>Tabela_SP5[[#This Row],[godziny.konsultacja]]</f>
        <v>0</v>
      </c>
      <c r="AT169" s="369">
        <f>Tabela_SP5[[#This Row],[godziny.egzamin]]</f>
        <v>0</v>
      </c>
      <c r="AU169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69" s="455">
        <f>IF(Tabela_SP5_nst[[#This Row],[ects.bezposr.nauczyciel]],Tabela_SP5_nst[[#This Row],[ects.bezposr.nauczyciel]]/Tabela_SP5_nst[[#This Row],[ects.razem]],0)</f>
        <v>0</v>
      </c>
      <c r="AW169" s="207"/>
    </row>
    <row r="170" spans="1:49" ht="25.5" hidden="1" customHeight="1" x14ac:dyDescent="0.3">
      <c r="A170" s="207"/>
      <c r="B170" s="448" t="str">
        <f>IF(Tabela_SP5[[#This Row],[kod.isced]]&lt;&gt;"",Tabela_SP5[[#This Row],[kod.isced]],"")</f>
        <v/>
      </c>
      <c r="C170" s="437" t="str">
        <f>IF(Tabela_SP5[[#This Row],[kod.dziedziny]]&lt;&gt;"",Tabela_SP5[[#This Row],[kod.dziedziny]],"")</f>
        <v/>
      </c>
      <c r="D170" s="437" t="str">
        <f>IF(Tabela_SP5[[#This Row],[Modul]]&lt;&gt;"",Tabela_SP5[[#This Row],[Modul]],"")</f>
        <v/>
      </c>
      <c r="E170" s="437" t="str">
        <f>IF(Tabela_SP5[[#This Row],[Umiej.prakt.]]&lt;&gt;"",Tabela_SP5[[#This Row],[Umiej.prakt.]],"")</f>
        <v/>
      </c>
      <c r="F170" s="438" t="str">
        <f>IF(Tabela_SP5[[#This Row],[Nazwa przedmiotu]]&lt;&gt;"",Tabela_SP5[[#This Row],[Nazwa przedmiotu]],"")</f>
        <v/>
      </c>
      <c r="G170" s="439" t="str">
        <f>IF(Tabela_SP5[[#This Row],[Prowadzacy]]&lt;&gt;"",Tabela_SP5[[#This Row],[Prowadzacy]],"")</f>
        <v/>
      </c>
      <c r="H170" s="440" t="str">
        <f>IF(Tabela_SP5[[#This Row],[Forma]]&lt;&gt;"",Tabela_SP5[[#This Row],[Forma]],"")</f>
        <v/>
      </c>
      <c r="I170" s="441" t="str">
        <f>IF(Tabela_SP5[[#This Row],[czy.ects]]&lt;&gt;"",Tabela_SP5[[#This Row],[czy.ects]],"")</f>
        <v/>
      </c>
      <c r="J170" s="356" t="str" cm="1">
        <f t="array" ref="J170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70" s="356" t="str" cm="1">
        <f t="array" ref="K170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70" s="356" t="str">
        <f>IF(Tabela_SP5[[#This Row],[sem1.forma]]&lt;&gt;"",Tabela_SP5[[#This Row],[sem1.forma]],"")</f>
        <v/>
      </c>
      <c r="M170" s="357" t="str" cm="1">
        <f t="array" ref="M170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70" s="357" t="str" cm="1">
        <f t="array" ref="N170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70" s="357" t="str">
        <f>IF(Tabela_SP5[[#This Row],[sem2.forma]]&lt;&gt;"",Tabela_SP5[[#This Row],[sem2.forma]],"")</f>
        <v/>
      </c>
      <c r="P170" s="358" t="str" cm="1">
        <f t="array" ref="P170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70" s="359" t="str" cm="1">
        <f t="array" ref="Q170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70" s="358" t="str">
        <f>IF(Tabela_SP5[[#This Row],[sem3.forma]]&lt;&gt;"",Tabela_SP5[[#This Row],[sem3.forma]],"")</f>
        <v/>
      </c>
      <c r="S170" s="355" t="str" cm="1">
        <f t="array" ref="S170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70" s="355" t="str" cm="1">
        <f t="array" ref="T170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70" s="355" t="str">
        <f>IF(Tabela_SP5[[#This Row],[sem4.forma]]&lt;&gt;"",Tabela_SP5[[#This Row],[sem4.forma]],"")</f>
        <v/>
      </c>
      <c r="V170" s="180" t="str" cm="1">
        <f t="array" ref="V170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70" s="180" t="str" cm="1">
        <f t="array" ref="W170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70" s="180" t="str">
        <f>IF(Tabela_SP5[[#This Row],[sem5.forma]]&lt;&gt;"",Tabela_SP5[[#This Row],[sem5.forma]],"")</f>
        <v/>
      </c>
      <c r="Y170" s="181" t="str" cm="1">
        <f t="array" ref="Y170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70" s="181" t="str" cm="1">
        <f t="array" ref="Z170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70" s="181" t="str">
        <f>IF(Tabela_SP5[[#This Row],[sem6.forma]]&lt;&gt;"",Tabela_SP5[[#This Row],[sem6.forma]],"")</f>
        <v/>
      </c>
      <c r="AB170" s="182" t="str" cm="1">
        <f t="array" ref="AB170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70" s="182" t="str" cm="1">
        <f t="array" ref="AC170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70" s="182" t="str">
        <f>IF(Tabela_SP5[[#This Row],[sem7.forma]]&lt;&gt;"",Tabela_SP5[[#This Row],[sem7.forma]],"")</f>
        <v/>
      </c>
      <c r="AE170" s="183" t="str" cm="1">
        <f t="array" ref="AE170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70" s="183" t="str" cm="1">
        <f t="array" ref="AF170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70" s="183" t="str">
        <f>IF(Tabela_SP5[[#This Row],[sem8.forma]]&lt;&gt;"",Tabela_SP5[[#This Row],[sem8.forma]],"")</f>
        <v/>
      </c>
      <c r="AH170" s="184" t="str" cm="1">
        <f t="array" ref="AH170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70" s="184" t="str" cm="1">
        <f t="array" ref="AI170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70" s="184" t="str">
        <f>IF(Tabela_SP5[[#This Row],[sem9.forma]]&lt;&gt;"",Tabela_SP5[[#This Row],[sem9.forma]],"")</f>
        <v/>
      </c>
      <c r="AK170" s="185" t="str" cm="1">
        <f t="array" ref="AK170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70" s="185" t="str" cm="1">
        <f t="array" ref="AL170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70" s="185" t="str">
        <f>IF(Tabela_SP5[[#This Row],[sem10.forma]]&lt;&gt;"",Tabela_SP5[[#This Row],[sem10.forma]],"")</f>
        <v/>
      </c>
      <c r="AN170" s="447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70" s="449">
        <f>IF(ISERR(SEARCH("UP",Tabela_SP5_nst[[#This Row],[Umiej.prakt.]],1)),0,Tabela_SP5_nst[[#This Row],[ects.razem]])</f>
        <v>0</v>
      </c>
      <c r="AP170" s="450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70" s="451">
        <f>SUM(Tabela_SP5_nst[[#This Row],[godziny.samoksztalcenie]],Tabela_SP5_nst[[#This Row],[godziny.konsultacja]],Tabela_SP5_nst[[#This Row],[godziny.egzamin]],Tabela_SP5_nst[[#This Row],[godziny.zajec.razem]])</f>
        <v>0</v>
      </c>
      <c r="AR170" s="452">
        <f>Tabela_SP5[[#This Row],[godziny.samoksztalcenie]]+(Tabela_SP5[[#This Row],[godziny.zajec.razem]]-Tabela_SP5_nst[[#This Row],[godziny.zajec.razem]])</f>
        <v>0</v>
      </c>
      <c r="AS170" s="453">
        <f>Tabela_SP5[[#This Row],[godziny.konsultacja]]</f>
        <v>0</v>
      </c>
      <c r="AT170" s="369">
        <f>Tabela_SP5[[#This Row],[godziny.egzamin]]</f>
        <v>0</v>
      </c>
      <c r="AU170" s="454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70" s="455">
        <f>IF(Tabela_SP5_nst[[#This Row],[ects.bezposr.nauczyciel]],Tabela_SP5_nst[[#This Row],[ects.bezposr.nauczyciel]]/Tabela_SP5_nst[[#This Row],[ects.razem]],0)</f>
        <v>0</v>
      </c>
      <c r="AW170" s="207"/>
    </row>
    <row r="171" spans="1:49" ht="25.5" hidden="1" customHeight="1" x14ac:dyDescent="0.3">
      <c r="A171" s="207"/>
      <c r="B171" s="333" t="str">
        <f>IF(Tabela_SP5[[#This Row],[kod.isced]]&lt;&gt;"",Tabela_SP5[[#This Row],[kod.isced]],"")</f>
        <v/>
      </c>
      <c r="C171" s="193" t="str">
        <f>IF(Tabela_SP5[[#This Row],[kod.dziedziny]]&lt;&gt;"",Tabela_SP5[[#This Row],[kod.dziedziny]],"")</f>
        <v/>
      </c>
      <c r="D171" s="193" t="str">
        <f>IF(Tabela_SP5[[#This Row],[Modul]]&lt;&gt;"",Tabela_SP5[[#This Row],[Modul]],"")</f>
        <v/>
      </c>
      <c r="E171" s="193" t="str">
        <f>IF(Tabela_SP5[[#This Row],[Umiej.prakt.]]&lt;&gt;"",Tabela_SP5[[#This Row],[Umiej.prakt.]],"")</f>
        <v/>
      </c>
      <c r="F171" s="308" t="str">
        <f>IF(Tabela_SP5[[#This Row],[Nazwa przedmiotu]]&lt;&gt;"",Tabela_SP5[[#This Row],[Nazwa przedmiotu]],"")</f>
        <v/>
      </c>
      <c r="G171" s="309" t="str">
        <f>IF(Tabela_SP5[[#This Row],[Prowadzacy]]&lt;&gt;"",Tabela_SP5[[#This Row],[Prowadzacy]],"")</f>
        <v/>
      </c>
      <c r="H171" s="155" t="str">
        <f>IF(Tabela_SP5[[#This Row],[Forma]]&lt;&gt;"",Tabela_SP5[[#This Row],[Forma]],"")</f>
        <v/>
      </c>
      <c r="I171" s="156" t="str">
        <f>IF(Tabela_SP5[[#This Row],[czy.ects]]&lt;&gt;"",Tabela_SP5[[#This Row],[czy.ects]],"")</f>
        <v/>
      </c>
      <c r="J171" s="356" t="str" cm="1">
        <f t="array" ref="J171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71" s="356" t="str" cm="1">
        <f t="array" ref="K171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71" s="356" t="str">
        <f>IF(Tabela_SP5[[#This Row],[sem1.forma]]&lt;&gt;"",Tabela_SP5[[#This Row],[sem1.forma]],"")</f>
        <v/>
      </c>
      <c r="M171" s="357" t="str" cm="1">
        <f t="array" ref="M171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71" s="357" t="str" cm="1">
        <f t="array" ref="N171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71" s="357" t="str">
        <f>IF(Tabela_SP5[[#This Row],[sem2.forma]]&lt;&gt;"",Tabela_SP5[[#This Row],[sem2.forma]],"")</f>
        <v/>
      </c>
      <c r="P171" s="358" t="str" cm="1">
        <f t="array" ref="P171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71" s="359" t="str" cm="1">
        <f t="array" ref="Q171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71" s="358" t="str">
        <f>IF(Tabela_SP5[[#This Row],[sem3.forma]]&lt;&gt;"",Tabela_SP5[[#This Row],[sem3.forma]],"")</f>
        <v/>
      </c>
      <c r="S171" s="355" t="str" cm="1">
        <f t="array" ref="S171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71" s="355" t="str" cm="1">
        <f t="array" ref="T171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71" s="355" t="str">
        <f>IF(Tabela_SP5[[#This Row],[sem4.forma]]&lt;&gt;"",Tabela_SP5[[#This Row],[sem4.forma]],"")</f>
        <v/>
      </c>
      <c r="V171" s="180" t="str" cm="1">
        <f t="array" ref="V171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71" s="180" t="str" cm="1">
        <f t="array" ref="W171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71" s="180" t="str">
        <f>IF(Tabela_SP5[[#This Row],[sem5.forma]]&lt;&gt;"",Tabela_SP5[[#This Row],[sem5.forma]],"")</f>
        <v/>
      </c>
      <c r="Y171" s="181" t="str" cm="1">
        <f t="array" ref="Y171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71" s="181" t="str" cm="1">
        <f t="array" ref="Z171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71" s="181" t="str">
        <f>IF(Tabela_SP5[[#This Row],[sem6.forma]]&lt;&gt;"",Tabela_SP5[[#This Row],[sem6.forma]],"")</f>
        <v/>
      </c>
      <c r="AB171" s="182" t="str" cm="1">
        <f t="array" ref="AB171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71" s="182" t="str" cm="1">
        <f t="array" ref="AC171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71" s="182" t="str">
        <f>IF(Tabela_SP5[[#This Row],[sem7.forma]]&lt;&gt;"",Tabela_SP5[[#This Row],[sem7.forma]],"")</f>
        <v/>
      </c>
      <c r="AE171" s="183" t="str" cm="1">
        <f t="array" ref="AE171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71" s="183" t="str" cm="1">
        <f t="array" ref="AF171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71" s="183" t="str">
        <f>IF(Tabela_SP5[[#This Row],[sem8.forma]]&lt;&gt;"",Tabela_SP5[[#This Row],[sem8.forma]],"")</f>
        <v/>
      </c>
      <c r="AH171" s="184" t="str" cm="1">
        <f t="array" ref="AH171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71" s="184" t="str" cm="1">
        <f t="array" ref="AI171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71" s="184" t="str">
        <f>IF(Tabela_SP5[[#This Row],[sem9.forma]]&lt;&gt;"",Tabela_SP5[[#This Row],[sem9.forma]],"")</f>
        <v/>
      </c>
      <c r="AK171" s="185" t="str" cm="1">
        <f t="array" ref="AK171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71" s="185" t="str" cm="1">
        <f t="array" ref="AL171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71" s="185" t="str">
        <f>IF(Tabela_SP5[[#This Row],[sem10.forma]]&lt;&gt;"",Tabela_SP5[[#This Row],[sem10.forma]],"")</f>
        <v/>
      </c>
      <c r="AN171" s="186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71" s="187">
        <f>IF(ISERR(SEARCH("UP",Tabela_SP5_nst[[#This Row],[Umiej.prakt.]],1)),0,Tabela_SP5_nst[[#This Row],[ects.razem]])</f>
        <v>0</v>
      </c>
      <c r="AP171" s="188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71" s="310">
        <f>SUM(Tabela_SP5_nst[[#This Row],[godziny.samoksztalcenie]],Tabela_SP5_nst[[#This Row],[godziny.konsultacja]],Tabela_SP5_nst[[#This Row],[godziny.egzamin]],Tabela_SP5_nst[[#This Row],[godziny.zajec.razem]])</f>
        <v>0</v>
      </c>
      <c r="AR171" s="311">
        <f>Tabela_SP5[[#This Row],[godziny.samoksztalcenie]]+(Tabela_SP5[[#This Row],[godziny.zajec.razem]]-Tabela_SP5_nst[[#This Row],[godziny.zajec.razem]])</f>
        <v>0</v>
      </c>
      <c r="AS171" s="189">
        <f>Tabela_SP5[[#This Row],[godziny.konsultacja]]</f>
        <v>0</v>
      </c>
      <c r="AT171" s="179">
        <f>Tabela_SP5[[#This Row],[godziny.egzamin]]</f>
        <v>0</v>
      </c>
      <c r="AU171" s="190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71" s="334">
        <f>IF(Tabela_SP5_nst[[#This Row],[ects.bezposr.nauczyciel]],Tabela_SP5_nst[[#This Row],[ects.bezposr.nauczyciel]]/Tabela_SP5_nst[[#This Row],[ects.razem]],0)</f>
        <v>0</v>
      </c>
      <c r="AW171" s="207"/>
    </row>
    <row r="172" spans="1:49" ht="25.5" hidden="1" customHeight="1" x14ac:dyDescent="0.3">
      <c r="A172" s="207"/>
      <c r="B172" s="333" t="str">
        <f>IF(Tabela_SP5[[#This Row],[kod.isced]]&lt;&gt;"",Tabela_SP5[[#This Row],[kod.isced]],"")</f>
        <v/>
      </c>
      <c r="C172" s="193" t="str">
        <f>IF(Tabela_SP5[[#This Row],[kod.dziedziny]]&lt;&gt;"",Tabela_SP5[[#This Row],[kod.dziedziny]],"")</f>
        <v/>
      </c>
      <c r="D172" s="193" t="str">
        <f>IF(Tabela_SP5[[#This Row],[Modul]]&lt;&gt;"",Tabela_SP5[[#This Row],[Modul]],"")</f>
        <v/>
      </c>
      <c r="E172" s="193" t="str">
        <f>IF(Tabela_SP5[[#This Row],[Umiej.prakt.]]&lt;&gt;"",Tabela_SP5[[#This Row],[Umiej.prakt.]],"")</f>
        <v/>
      </c>
      <c r="F172" s="308" t="str">
        <f>IF(Tabela_SP5[[#This Row],[Nazwa przedmiotu]]&lt;&gt;"",Tabela_SP5[[#This Row],[Nazwa przedmiotu]],"")</f>
        <v/>
      </c>
      <c r="G172" s="309" t="str">
        <f>IF(Tabela_SP5[[#This Row],[Prowadzacy]]&lt;&gt;"",Tabela_SP5[[#This Row],[Prowadzacy]],"")</f>
        <v/>
      </c>
      <c r="H172" s="155" t="str">
        <f>IF(Tabela_SP5[[#This Row],[Forma]]&lt;&gt;"",Tabela_SP5[[#This Row],[Forma]],"")</f>
        <v/>
      </c>
      <c r="I172" s="156" t="str">
        <f>IF(Tabela_SP5[[#This Row],[czy.ects]]&lt;&gt;"",Tabela_SP5[[#This Row],[czy.ects]],"")</f>
        <v/>
      </c>
      <c r="J172" s="356" t="str" cm="1">
        <f t="array" ref="J172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72" s="356" t="str" cm="1">
        <f t="array" ref="K172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72" s="356" t="str">
        <f>IF(Tabela_SP5[[#This Row],[sem1.forma]]&lt;&gt;"",Tabela_SP5[[#This Row],[sem1.forma]],"")</f>
        <v/>
      </c>
      <c r="M172" s="357" t="str" cm="1">
        <f t="array" ref="M172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72" s="357" t="str" cm="1">
        <f t="array" ref="N172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72" s="357" t="str">
        <f>IF(Tabela_SP5[[#This Row],[sem2.forma]]&lt;&gt;"",Tabela_SP5[[#This Row],[sem2.forma]],"")</f>
        <v/>
      </c>
      <c r="P172" s="358" t="str" cm="1">
        <f t="array" ref="P172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72" s="359" t="str" cm="1">
        <f t="array" ref="Q172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72" s="358" t="str">
        <f>IF(Tabela_SP5[[#This Row],[sem3.forma]]&lt;&gt;"",Tabela_SP5[[#This Row],[sem3.forma]],"")</f>
        <v/>
      </c>
      <c r="S172" s="355" t="str" cm="1">
        <f t="array" ref="S172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72" s="355" t="str" cm="1">
        <f t="array" ref="T172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72" s="355" t="str">
        <f>IF(Tabela_SP5[[#This Row],[sem4.forma]]&lt;&gt;"",Tabela_SP5[[#This Row],[sem4.forma]],"")</f>
        <v/>
      </c>
      <c r="V172" s="180" t="str" cm="1">
        <f t="array" ref="V172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72" s="180" t="str" cm="1">
        <f t="array" ref="W172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72" s="180" t="str">
        <f>IF(Tabela_SP5[[#This Row],[sem5.forma]]&lt;&gt;"",Tabela_SP5[[#This Row],[sem5.forma]],"")</f>
        <v/>
      </c>
      <c r="Y172" s="181" t="str" cm="1">
        <f t="array" ref="Y172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72" s="181" t="str" cm="1">
        <f t="array" ref="Z172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72" s="181" t="str">
        <f>IF(Tabela_SP5[[#This Row],[sem6.forma]]&lt;&gt;"",Tabela_SP5[[#This Row],[sem6.forma]],"")</f>
        <v/>
      </c>
      <c r="AB172" s="182" t="str" cm="1">
        <f t="array" ref="AB172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72" s="182" t="str" cm="1">
        <f t="array" ref="AC172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72" s="182" t="str">
        <f>IF(Tabela_SP5[[#This Row],[sem7.forma]]&lt;&gt;"",Tabela_SP5[[#This Row],[sem7.forma]],"")</f>
        <v/>
      </c>
      <c r="AE172" s="183" t="str" cm="1">
        <f t="array" ref="AE172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72" s="183" t="str" cm="1">
        <f t="array" ref="AF172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72" s="183" t="str">
        <f>IF(Tabela_SP5[[#This Row],[sem8.forma]]&lt;&gt;"",Tabela_SP5[[#This Row],[sem8.forma]],"")</f>
        <v/>
      </c>
      <c r="AH172" s="184" t="str" cm="1">
        <f t="array" ref="AH172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72" s="184" t="str" cm="1">
        <f t="array" ref="AI172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72" s="184" t="str">
        <f>IF(Tabela_SP5[[#This Row],[sem9.forma]]&lt;&gt;"",Tabela_SP5[[#This Row],[sem9.forma]],"")</f>
        <v/>
      </c>
      <c r="AK172" s="185" t="str" cm="1">
        <f t="array" ref="AK172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72" s="185" t="str" cm="1">
        <f t="array" ref="AL172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72" s="185" t="str">
        <f>IF(Tabela_SP5[[#This Row],[sem10.forma]]&lt;&gt;"",Tabela_SP5[[#This Row],[sem10.forma]],"")</f>
        <v/>
      </c>
      <c r="AN172" s="186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72" s="187">
        <f>IF(ISERR(SEARCH("UP",Tabela_SP5_nst[[#This Row],[Umiej.prakt.]],1)),0,Tabela_SP5_nst[[#This Row],[ects.razem]])</f>
        <v>0</v>
      </c>
      <c r="AP172" s="188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72" s="310">
        <f>SUM(Tabela_SP5_nst[[#This Row],[godziny.samoksztalcenie]],Tabela_SP5_nst[[#This Row],[godziny.konsultacja]],Tabela_SP5_nst[[#This Row],[godziny.egzamin]],Tabela_SP5_nst[[#This Row],[godziny.zajec.razem]])</f>
        <v>0</v>
      </c>
      <c r="AR172" s="311">
        <f>Tabela_SP5[[#This Row],[godziny.samoksztalcenie]]+(Tabela_SP5[[#This Row],[godziny.zajec.razem]]-Tabela_SP5_nst[[#This Row],[godziny.zajec.razem]])</f>
        <v>0</v>
      </c>
      <c r="AS172" s="189">
        <f>Tabela_SP5[[#This Row],[godziny.konsultacja]]</f>
        <v>0</v>
      </c>
      <c r="AT172" s="179">
        <f>Tabela_SP5[[#This Row],[godziny.egzamin]]</f>
        <v>0</v>
      </c>
      <c r="AU172" s="190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72" s="334">
        <f>IF(Tabela_SP5_nst[[#This Row],[ects.bezposr.nauczyciel]],Tabela_SP5_nst[[#This Row],[ects.bezposr.nauczyciel]]/Tabela_SP5_nst[[#This Row],[ects.razem]],0)</f>
        <v>0</v>
      </c>
      <c r="AW172" s="207"/>
    </row>
    <row r="173" spans="1:49" ht="25.5" hidden="1" customHeight="1" x14ac:dyDescent="0.3">
      <c r="A173" s="207"/>
      <c r="B173" s="333" t="str">
        <f>IF(Tabela_SP5[[#This Row],[kod.isced]]&lt;&gt;"",Tabela_SP5[[#This Row],[kod.isced]],"")</f>
        <v/>
      </c>
      <c r="C173" s="193" t="str">
        <f>IF(Tabela_SP5[[#This Row],[kod.dziedziny]]&lt;&gt;"",Tabela_SP5[[#This Row],[kod.dziedziny]],"")</f>
        <v/>
      </c>
      <c r="D173" s="193" t="str">
        <f>IF(Tabela_SP5[[#This Row],[Modul]]&lt;&gt;"",Tabela_SP5[[#This Row],[Modul]],"")</f>
        <v/>
      </c>
      <c r="E173" s="193" t="str">
        <f>IF(Tabela_SP5[[#This Row],[Umiej.prakt.]]&lt;&gt;"",Tabela_SP5[[#This Row],[Umiej.prakt.]],"")</f>
        <v/>
      </c>
      <c r="F173" s="308" t="str">
        <f>IF(Tabela_SP5[[#This Row],[Nazwa przedmiotu]]&lt;&gt;"",Tabela_SP5[[#This Row],[Nazwa przedmiotu]],"")</f>
        <v/>
      </c>
      <c r="G173" s="309" t="str">
        <f>IF(Tabela_SP5[[#This Row],[Prowadzacy]]&lt;&gt;"",Tabela_SP5[[#This Row],[Prowadzacy]],"")</f>
        <v/>
      </c>
      <c r="H173" s="155" t="str">
        <f>IF(Tabela_SP5[[#This Row],[Forma]]&lt;&gt;"",Tabela_SP5[[#This Row],[Forma]],"")</f>
        <v/>
      </c>
      <c r="I173" s="156" t="str">
        <f>IF(Tabela_SP5[[#This Row],[czy.ects]]&lt;&gt;"",Tabela_SP5[[#This Row],[czy.ects]],"")</f>
        <v/>
      </c>
      <c r="J173" s="356" t="str" cm="1">
        <f t="array" ref="J173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73" s="356" t="str" cm="1">
        <f t="array" ref="K173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73" s="356" t="str">
        <f>IF(Tabela_SP5[[#This Row],[sem1.forma]]&lt;&gt;"",Tabela_SP5[[#This Row],[sem1.forma]],"")</f>
        <v/>
      </c>
      <c r="M173" s="357" t="str" cm="1">
        <f t="array" ref="M173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73" s="357" t="str" cm="1">
        <f t="array" ref="N173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73" s="357" t="str">
        <f>IF(Tabela_SP5[[#This Row],[sem2.forma]]&lt;&gt;"",Tabela_SP5[[#This Row],[sem2.forma]],"")</f>
        <v/>
      </c>
      <c r="P173" s="358" t="str" cm="1">
        <f t="array" ref="P173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73" s="359" t="str" cm="1">
        <f t="array" ref="Q173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73" s="358" t="str">
        <f>IF(Tabela_SP5[[#This Row],[sem3.forma]]&lt;&gt;"",Tabela_SP5[[#This Row],[sem3.forma]],"")</f>
        <v/>
      </c>
      <c r="S173" s="355" t="str" cm="1">
        <f t="array" ref="S173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73" s="355" t="str" cm="1">
        <f t="array" ref="T173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73" s="355" t="str">
        <f>IF(Tabela_SP5[[#This Row],[sem4.forma]]&lt;&gt;"",Tabela_SP5[[#This Row],[sem4.forma]],"")</f>
        <v/>
      </c>
      <c r="V173" s="180" t="str" cm="1">
        <f t="array" ref="V173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73" s="180" t="str" cm="1">
        <f t="array" ref="W173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73" s="180" t="str">
        <f>IF(Tabela_SP5[[#This Row],[sem5.forma]]&lt;&gt;"",Tabela_SP5[[#This Row],[sem5.forma]],"")</f>
        <v/>
      </c>
      <c r="Y173" s="181" t="str" cm="1">
        <f t="array" ref="Y173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73" s="181" t="str" cm="1">
        <f t="array" ref="Z173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73" s="181" t="str">
        <f>IF(Tabela_SP5[[#This Row],[sem6.forma]]&lt;&gt;"",Tabela_SP5[[#This Row],[sem6.forma]],"")</f>
        <v/>
      </c>
      <c r="AB173" s="182" t="str" cm="1">
        <f t="array" ref="AB173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73" s="182" t="str" cm="1">
        <f t="array" ref="AC173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73" s="182" t="str">
        <f>IF(Tabela_SP5[[#This Row],[sem7.forma]]&lt;&gt;"",Tabela_SP5[[#This Row],[sem7.forma]],"")</f>
        <v/>
      </c>
      <c r="AE173" s="183" t="str" cm="1">
        <f t="array" ref="AE173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73" s="183" t="str" cm="1">
        <f t="array" ref="AF173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73" s="183" t="str">
        <f>IF(Tabela_SP5[[#This Row],[sem8.forma]]&lt;&gt;"",Tabela_SP5[[#This Row],[sem8.forma]],"")</f>
        <v/>
      </c>
      <c r="AH173" s="184" t="str" cm="1">
        <f t="array" ref="AH173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73" s="184" t="str" cm="1">
        <f t="array" ref="AI173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73" s="184" t="str">
        <f>IF(Tabela_SP5[[#This Row],[sem9.forma]]&lt;&gt;"",Tabela_SP5[[#This Row],[sem9.forma]],"")</f>
        <v/>
      </c>
      <c r="AK173" s="185" t="str" cm="1">
        <f t="array" ref="AK173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73" s="185" t="str" cm="1">
        <f t="array" ref="AL173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73" s="185" t="str">
        <f>IF(Tabela_SP5[[#This Row],[sem10.forma]]&lt;&gt;"",Tabela_SP5[[#This Row],[sem10.forma]],"")</f>
        <v/>
      </c>
      <c r="AN173" s="186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73" s="187">
        <f>IF(ISERR(SEARCH("UP",Tabela_SP5_nst[[#This Row],[Umiej.prakt.]],1)),0,Tabela_SP5_nst[[#This Row],[ects.razem]])</f>
        <v>0</v>
      </c>
      <c r="AP173" s="188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73" s="310">
        <f>SUM(Tabela_SP5_nst[[#This Row],[godziny.samoksztalcenie]],Tabela_SP5_nst[[#This Row],[godziny.konsultacja]],Tabela_SP5_nst[[#This Row],[godziny.egzamin]],Tabela_SP5_nst[[#This Row],[godziny.zajec.razem]])</f>
        <v>0</v>
      </c>
      <c r="AR173" s="311">
        <f>Tabela_SP5[[#This Row],[godziny.samoksztalcenie]]+(Tabela_SP5[[#This Row],[godziny.zajec.razem]]-Tabela_SP5_nst[[#This Row],[godziny.zajec.razem]])</f>
        <v>0</v>
      </c>
      <c r="AS173" s="189">
        <f>Tabela_SP5[[#This Row],[godziny.konsultacja]]</f>
        <v>0</v>
      </c>
      <c r="AT173" s="179">
        <f>Tabela_SP5[[#This Row],[godziny.egzamin]]</f>
        <v>0</v>
      </c>
      <c r="AU173" s="190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73" s="334">
        <f>IF(Tabela_SP5_nst[[#This Row],[ects.bezposr.nauczyciel]],Tabela_SP5_nst[[#This Row],[ects.bezposr.nauczyciel]]/Tabela_SP5_nst[[#This Row],[ects.razem]],0)</f>
        <v>0</v>
      </c>
      <c r="AW173" s="207"/>
    </row>
    <row r="174" spans="1:49" ht="25.5" hidden="1" customHeight="1" x14ac:dyDescent="0.3">
      <c r="A174" s="207"/>
      <c r="B174" s="333" t="str">
        <f>IF(Tabela_SP5[[#This Row],[kod.isced]]&lt;&gt;"",Tabela_SP5[[#This Row],[kod.isced]],"")</f>
        <v/>
      </c>
      <c r="C174" s="193" t="str">
        <f>IF(Tabela_SP5[[#This Row],[kod.dziedziny]]&lt;&gt;"",Tabela_SP5[[#This Row],[kod.dziedziny]],"")</f>
        <v/>
      </c>
      <c r="D174" s="193" t="str">
        <f>IF(Tabela_SP5[[#This Row],[Modul]]&lt;&gt;"",Tabela_SP5[[#This Row],[Modul]],"")</f>
        <v/>
      </c>
      <c r="E174" s="193" t="str">
        <f>IF(Tabela_SP5[[#This Row],[Umiej.prakt.]]&lt;&gt;"",Tabela_SP5[[#This Row],[Umiej.prakt.]],"")</f>
        <v/>
      </c>
      <c r="F174" s="308" t="str">
        <f>IF(Tabela_SP5[[#This Row],[Nazwa przedmiotu]]&lt;&gt;"",Tabela_SP5[[#This Row],[Nazwa przedmiotu]],"")</f>
        <v/>
      </c>
      <c r="G174" s="309" t="str">
        <f>IF(Tabela_SP5[[#This Row],[Prowadzacy]]&lt;&gt;"",Tabela_SP5[[#This Row],[Prowadzacy]],"")</f>
        <v/>
      </c>
      <c r="H174" s="155" t="str">
        <f>IF(Tabela_SP5[[#This Row],[Forma]]&lt;&gt;"",Tabela_SP5[[#This Row],[Forma]],"")</f>
        <v/>
      </c>
      <c r="I174" s="156" t="str">
        <f>IF(Tabela_SP5[[#This Row],[czy.ects]]&lt;&gt;"",Tabela_SP5[[#This Row],[czy.ects]],"")</f>
        <v/>
      </c>
      <c r="J174" s="356" t="str" cm="1">
        <f t="array" ref="J174">_xlfn.IFS(AND(OR(Tabela_SP5[[#This Row],[Forma]]="praktyka",Tabela_SP5[[#This Row],[Forma]]="instruktaż"),Tabela_SP5[[#This Row],[sem1.godziny]]&gt;1),Tabela_SP5[[#This Row],[sem1.godziny]],Tabela_SP5[[#This Row],[sem1.godziny]]&gt;14,Tabela_SP5[[#This Row],[sem1.godziny]]*0.6,Tabela_SP5[[#This Row],[sem1.godziny]]&gt;1,Tabela_SP5[[#This Row],[sem1.godziny]],TRUE,"")</f>
        <v/>
      </c>
      <c r="K174" s="356" t="str" cm="1">
        <f t="array" ref="K174">IF(Tabela_SP5_nst[[#This Row],[czy.ects]]="TAK",_xlfn.IFS(AND(Tabela_SP5_nst[[#This Row],[sem1.godziny]]&gt;=$Q$200,Tabela_SP5_nst[[#This Row],[sem1.forma]]="z"),8,AND(Tabela_SP5_nst[[#This Row],[sem1.godziny]]&gt;=$I$200,Tabela_SP5_nst[[#This Row],[sem1.forma]]="z"),4,AND(Tabela_SP5_nst[[#This Row],[sem1.godziny]]&gt;=$H$200,Tabela_SP5_nst[[#This Row],[sem1.forma]]="e"),2,AND(Tabela_SP5_nst[[#This Row],[sem1.godziny]]&lt;$H$200,Tabela_SP5_nst[[#This Row],[sem1.forma]]="e"),1,AND(Tabela_SP5_nst[[#This Row],[sem1.godziny]]&gt;=$H$200,Tabela_SP5_nst[[#This Row],[sem1.forma]]="z"),2,AND(Tabela_SP5_nst[[#This Row],[sem1.godziny]]&lt;$H$200,Tabela_SP5_nst[[#This Row],[sem1.forma]]="z"),1,TRUE,""),"")</f>
        <v/>
      </c>
      <c r="L174" s="356" t="str">
        <f>IF(Tabela_SP5[[#This Row],[sem1.forma]]&lt;&gt;"",Tabela_SP5[[#This Row],[sem1.forma]],"")</f>
        <v/>
      </c>
      <c r="M174" s="357" t="str" cm="1">
        <f t="array" ref="M174">_xlfn.IFS(AND(OR(Tabela_SP5[[#This Row],[Forma]]="praktyka",Tabela_SP5[[#This Row],[Forma]]="instruktaż"),Tabela_SP5[[#This Row],[sem2.godziny]]&gt;1),Tabela_SP5[[#This Row],[sem2.godziny]],Tabela_SP5[[#This Row],[sem2.godziny]]&gt;14,Tabela_SP5[[#This Row],[sem2.godziny]]*0.6,Tabela_SP5[[#This Row],[sem2.godziny]]&gt;1,Tabela_SP5[[#This Row],[sem2.godziny]],TRUE,"")</f>
        <v/>
      </c>
      <c r="N174" s="357" t="str" cm="1">
        <f t="array" ref="N174">IF(Tabela_SP5_nst[[#This Row],[czy.ects]]="TAK",_xlfn.IFS(AND(Tabela_SP5_nst[[#This Row],[sem2.godziny]]&gt;=$Q$200,Tabela_SP5_nst[[#This Row],[sem2.forma]]="z"),8,AND(Tabela_SP5_nst[[#This Row],[sem2.godziny]]&gt;=$I$200,Tabela_SP5_nst[[#This Row],[sem2.forma]]="z"),4,AND(Tabela_SP5_nst[[#This Row],[sem2.godziny]]&gt;=$H$200,Tabela_SP5_nst[[#This Row],[sem2.forma]]="e"),2,AND(Tabela_SP5_nst[[#This Row],[sem2.godziny]]&lt;$H$200,Tabela_SP5_nst[[#This Row],[sem2.forma]]="e"),1,AND(Tabela_SP5_nst[[#This Row],[sem2.godziny]]&gt;=$H$200,Tabela_SP5_nst[[#This Row],[sem2.forma]]="z"),2,AND(Tabela_SP5_nst[[#This Row],[sem2.godziny]]&lt;$H$200,Tabela_SP5_nst[[#This Row],[sem2.forma]]="z"),1,TRUE,""),"")</f>
        <v/>
      </c>
      <c r="O174" s="357" t="str">
        <f>IF(Tabela_SP5[[#This Row],[sem2.forma]]&lt;&gt;"",Tabela_SP5[[#This Row],[sem2.forma]],"")</f>
        <v/>
      </c>
      <c r="P174" s="358" t="str" cm="1">
        <f t="array" ref="P174">_xlfn.IFS(AND(OR(Tabela_SP5[[#This Row],[Forma]]="praktyka",Tabela_SP5[[#This Row],[Forma]]="instruktaż"),Tabela_SP5[[#This Row],[sem3.godziny]]&gt;1),Tabela_SP5[[#This Row],[sem3.godziny]],Tabela_SP5[[#This Row],[sem3.godziny]]&gt;14,Tabela_SP5[[#This Row],[sem3.godziny]]*0.6,Tabela_SP5[[#This Row],[sem3.godziny]]&gt;1,Tabela_SP5[[#This Row],[sem3.godziny]],TRUE,"")</f>
        <v/>
      </c>
      <c r="Q174" s="359" t="str" cm="1">
        <f t="array" ref="Q174">IF(Tabela_SP5_nst[[#This Row],[czy.ects]]="TAK",_xlfn.IFS(AND(Tabela_SP5_nst[[#This Row],[sem3.godziny]]&gt;=$Q$200,Tabela_SP5_nst[[#This Row],[sem3.forma]]="z"),8,AND(Tabela_SP5_nst[[#This Row],[sem3.godziny]]&gt;=$I$200,Tabela_SP5_nst[[#This Row],[sem3.forma]]="z"),4,AND(Tabela_SP5_nst[[#This Row],[sem3.godziny]]&gt;=$H$200,Tabela_SP5_nst[[#This Row],[sem3.forma]]="e"),2,AND(Tabela_SP5_nst[[#This Row],[sem3.godziny]]&lt;$H$200,Tabela_SP5_nst[[#This Row],[sem3.forma]]="e"),1,AND(Tabela_SP5_nst[[#This Row],[sem3.godziny]]&gt;=$H$200,Tabela_SP5_nst[[#This Row],[sem3.forma]]="z"),2,AND(Tabela_SP5_nst[[#This Row],[sem3.godziny]]&lt;$H$200,Tabela_SP5_nst[[#This Row],[sem3.forma]]="z"),1,TRUE,""),"")</f>
        <v/>
      </c>
      <c r="R174" s="358" t="str">
        <f>IF(Tabela_SP5[[#This Row],[sem3.forma]]&lt;&gt;"",Tabela_SP5[[#This Row],[sem3.forma]],"")</f>
        <v/>
      </c>
      <c r="S174" s="355" t="str" cm="1">
        <f t="array" ref="S174">_xlfn.IFS(AND(OR(Tabela_SP5[[#This Row],[Forma]]="praktyka",Tabela_SP5[[#This Row],[Forma]]="instruktaż"),Tabela_SP5[[#This Row],[sem4.godziny]]&gt;1),Tabela_SP5[[#This Row],[sem4.godziny]],Tabela_SP5[[#This Row],[sem4.godziny]]&gt;14,Tabela_SP5[[#This Row],[sem4.godziny]]*0.6,Tabela_SP5[[#This Row],[sem4.godziny]]&gt;1,Tabela_SP5[[#This Row],[sem4.godziny]],TRUE,"")</f>
        <v/>
      </c>
      <c r="T174" s="355" t="str" cm="1">
        <f t="array" ref="T174">IF(Tabela_SP5_nst[[#This Row],[czy.ects]]="TAK",_xlfn.IFS(AND(Tabela_SP5_nst[[#This Row],[sem4.godziny]]&gt;=$Q$200,Tabela_SP5_nst[[#This Row],[sem4.forma]]="z"),8,AND(Tabela_SP5_nst[[#This Row],[sem4.godziny]]&gt;=$I$200,Tabela_SP5_nst[[#This Row],[sem4.forma]]="z"),4,AND(Tabela_SP5_nst[[#This Row],[sem4.godziny]]&gt;=$H$200,Tabela_SP5_nst[[#This Row],[sem4.forma]]="e"),2,AND(Tabela_SP5_nst[[#This Row],[sem4.godziny]]&lt;$H$200,Tabela_SP5_nst[[#This Row],[sem4.forma]]="e"),1,AND(Tabela_SP5_nst[[#This Row],[sem4.godziny]]&gt;=$H$200,Tabela_SP5_nst[[#This Row],[sem4.forma]]="z"),2,AND(Tabela_SP5_nst[[#This Row],[sem4.godziny]]&lt;$H$200,Tabela_SP5_nst[[#This Row],[sem4.forma]]="z"),1,TRUE,""),"")</f>
        <v/>
      </c>
      <c r="U174" s="355" t="str">
        <f>IF(Tabela_SP5[[#This Row],[sem4.forma]]&lt;&gt;"",Tabela_SP5[[#This Row],[sem4.forma]],"")</f>
        <v/>
      </c>
      <c r="V174" s="180" t="str" cm="1">
        <f t="array" ref="V174">_xlfn.IFS(AND(OR(Tabela_SP5[[#This Row],[Forma]]="praktyka",Tabela_SP5[[#This Row],[Forma]]="instruktaż"),Tabela_SP5[[#This Row],[sem5.godziny]]&gt;1),Tabela_SP5[[#This Row],[sem5.godziny]],Tabela_SP5[[#This Row],[sem5.godziny]]&gt;14,Tabela_SP5[[#This Row],[sem5.godziny]]*0.6,Tabela_SP5[[#This Row],[sem5.godziny]]&gt;1,Tabela_SP5[[#This Row],[sem5.godziny]],TRUE,"")</f>
        <v/>
      </c>
      <c r="W174" s="180" t="str" cm="1">
        <f t="array" ref="W174">IF(Tabela_SP5_nst[[#This Row],[czy.ects]]="TAK",_xlfn.IFS(AND(Tabela_SP5_nst[[#This Row],[sem5.godziny]]&gt;=$Q$200,Tabela_SP5_nst[[#This Row],[sem5.forma]]="z"),8,AND(Tabela_SP5_nst[[#This Row],[sem5.godziny]]&gt;=$I$200,Tabela_SP5_nst[[#This Row],[sem5.forma]]="z"),4,AND(Tabela_SP5_nst[[#This Row],[sem5.godziny]]&gt;=$H$200,Tabela_SP5_nst[[#This Row],[sem5.forma]]="e"),2,AND(Tabela_SP5_nst[[#This Row],[sem5.godziny]]&lt;$H$200,Tabela_SP5_nst[[#This Row],[sem5.forma]]="e"),1,AND(Tabela_SP5_nst[[#This Row],[sem5.godziny]]&gt;=$H$200,Tabela_SP5_nst[[#This Row],[sem5.forma]]="z"),2,AND(Tabela_SP5_nst[[#This Row],[sem5.godziny]]&lt;$H$200,Tabela_SP5_nst[[#This Row],[sem5.forma]]="z"),1,TRUE,""),"")</f>
        <v/>
      </c>
      <c r="X174" s="180" t="str">
        <f>IF(Tabela_SP5[[#This Row],[sem5.forma]]&lt;&gt;"",Tabela_SP5[[#This Row],[sem5.forma]],"")</f>
        <v/>
      </c>
      <c r="Y174" s="181" t="str" cm="1">
        <f t="array" ref="Y174">_xlfn.IFS(AND(OR(Tabela_SP5[[#This Row],[Forma]]="praktyka",Tabela_SP5[[#This Row],[Forma]]="instruktaż"),Tabela_SP5[[#This Row],[sem6.godziny]]&gt;1),Tabela_SP5[[#This Row],[sem6.godziny]],Tabela_SP5[[#This Row],[sem6.godziny]]&gt;14,Tabela_SP5[[#This Row],[sem6.godziny]]*0.6,Tabela_SP5[[#This Row],[sem6.godziny]]&gt;1,Tabela_SP5[[#This Row],[sem6.godziny]],TRUE,"")</f>
        <v/>
      </c>
      <c r="Z174" s="181" t="str" cm="1">
        <f t="array" ref="Z174">IF(Tabela_SP5_nst[[#This Row],[czy.ects]]="TAK",_xlfn.IFS(AND(Tabela_SP5_nst[[#This Row],[sem6.godziny]]&gt;=$Q$200,Tabela_SP5_nst[[#This Row],[sem6.forma]]="z"),8,AND(Tabela_SP5_nst[[#This Row],[sem6.godziny]]&gt;=$I$200,Tabela_SP5_nst[[#This Row],[sem6.forma]]="z"),4,AND(Tabela_SP5_nst[[#This Row],[sem6.godziny]]&gt;=$H$200,Tabela_SP5_nst[[#This Row],[sem6.forma]]="e"),2,AND(Tabela_SP5_nst[[#This Row],[sem6.godziny]]&lt;$H$200,Tabela_SP5_nst[[#This Row],[sem6.forma]]="e"),1,AND(Tabela_SP5_nst[[#This Row],[sem6.godziny]]&gt;=$H$200,Tabela_SP5_nst[[#This Row],[sem6.forma]]="z"),2,AND(Tabela_SP5_nst[[#This Row],[sem6.godziny]]&lt;$H$200,Tabela_SP5_nst[[#This Row],[sem6.forma]]="z"),1,TRUE,""),"")</f>
        <v/>
      </c>
      <c r="AA174" s="181" t="str">
        <f>IF(Tabela_SP5[[#This Row],[sem6.forma]]&lt;&gt;"",Tabela_SP5[[#This Row],[sem6.forma]],"")</f>
        <v/>
      </c>
      <c r="AB174" s="182" t="str" cm="1">
        <f t="array" ref="AB174">_xlfn.IFS(AND(OR(Tabela_SP5[[#This Row],[Forma]]="praktyka",Tabela_SP5[[#This Row],[Forma]]="instruktaż"),Tabela_SP5[[#This Row],[sem7.godziny]]&gt;1),Tabela_SP5[[#This Row],[sem7.godziny]],Tabela_SP5[[#This Row],[sem7.godziny]]&gt;14,Tabela_SP5[[#This Row],[sem7.godziny]]*0.6,Tabela_SP5[[#This Row],[sem7.godziny]]&gt;1,Tabela_SP5[[#This Row],[sem7.godziny]],TRUE,"")</f>
        <v/>
      </c>
      <c r="AC174" s="182" t="str" cm="1">
        <f t="array" ref="AC174">IF(Tabela_SP5_nst[[#This Row],[czy.ects]]="TAK",_xlfn.IFS(AND(Tabela_SP5_nst[[#This Row],[sem7.godziny]]&gt;=$Q$200,Tabela_SP5_nst[[#This Row],[sem7.forma]]="z"),8,AND(Tabela_SP5_nst[[#This Row],[sem7.godziny]]&gt;=$I$200,Tabela_SP5_nst[[#This Row],[sem7.forma]]="z"),4,AND(Tabela_SP5_nst[[#This Row],[sem7.godziny]]&gt;=$H$200,Tabela_SP5_nst[[#This Row],[sem7.forma]]="e"),2,AND(Tabela_SP5_nst[[#This Row],[sem7.godziny]]&lt;$H$200,Tabela_SP5_nst[[#This Row],[sem7.forma]]="e"),1,AND(Tabela_SP5_nst[[#This Row],[sem7.godziny]]&gt;=$H$200,Tabela_SP5_nst[[#This Row],[sem7.forma]]="z"),2,AND(Tabela_SP5_nst[[#This Row],[sem7.godziny]]&lt;$H$200,Tabela_SP5_nst[[#This Row],[sem7.forma]]="z"),1,TRUE,""),"")</f>
        <v/>
      </c>
      <c r="AD174" s="182" t="str">
        <f>IF(Tabela_SP5[[#This Row],[sem7.forma]]&lt;&gt;"",Tabela_SP5[[#This Row],[sem7.forma]],"")</f>
        <v/>
      </c>
      <c r="AE174" s="183" t="str" cm="1">
        <f t="array" ref="AE174">_xlfn.IFS(AND(OR(Tabela_SP5[[#This Row],[Forma]]="praktyka",Tabela_SP5[[#This Row],[Forma]]="instruktaż"),Tabela_SP5[[#This Row],[sem8.godziny]]&gt;1),Tabela_SP5[[#This Row],[sem8.godziny]],Tabela_SP5[[#This Row],[sem8.godziny]]&gt;14,Tabela_SP5[[#This Row],[sem8.godziny]]*0.6,Tabela_SP5[[#This Row],[sem8.godziny]]&gt;1,Tabela_SP5[[#This Row],[sem8.godziny]],TRUE,"")</f>
        <v/>
      </c>
      <c r="AF174" s="183" t="str" cm="1">
        <f t="array" ref="AF174">IF(Tabela_SP5_nst[[#This Row],[czy.ects]]="TAK",_xlfn.IFS(AND(Tabela_SP5_nst[[#This Row],[sem8.godziny]]&gt;=$Q$200,Tabela_SP5_nst[[#This Row],[sem8.forma]]="z"),8,AND(Tabela_SP5_nst[[#This Row],[sem8.godziny]]&gt;=$I$200,Tabela_SP5_nst[[#This Row],[sem8.forma]]="z"),4,AND(Tabela_SP5_nst[[#This Row],[sem8.godziny]]&gt;=$H$200,Tabela_SP5_nst[[#This Row],[sem8.forma]]="e"),2,AND(Tabela_SP5_nst[[#This Row],[sem8.godziny]]&lt;$H$200,Tabela_SP5_nst[[#This Row],[sem8.forma]]="e"),1,AND(Tabela_SP5_nst[[#This Row],[sem8.godziny]]&gt;=$H$200,Tabela_SP5_nst[[#This Row],[sem8.forma]]="z"),2,AND(Tabela_SP5_nst[[#This Row],[sem8.godziny]]&lt;$H$200,Tabela_SP5_nst[[#This Row],[sem8.forma]]="z"),1,TRUE,""),"")</f>
        <v/>
      </c>
      <c r="AG174" s="183" t="str">
        <f>IF(Tabela_SP5[[#This Row],[sem8.forma]]&lt;&gt;"",Tabela_SP5[[#This Row],[sem8.forma]],"")</f>
        <v/>
      </c>
      <c r="AH174" s="184" t="str" cm="1">
        <f t="array" ref="AH174">_xlfn.IFS(AND(OR(Tabela_SP5[[#This Row],[Forma]]="praktyka",Tabela_SP5[[#This Row],[Forma]]="instruktaż"),Tabela_SP5[[#This Row],[sem9.godziny]]&gt;1),Tabela_SP5[[#This Row],[sem9.godziny]],Tabela_SP5[[#This Row],[sem9.godziny]]&gt;14,Tabela_SP5[[#This Row],[sem9.godziny]]*0.6,Tabela_SP5[[#This Row],[sem9.godziny]]&gt;1,Tabela_SP5[[#This Row],[sem9.godziny]],TRUE,"")</f>
        <v/>
      </c>
      <c r="AI174" s="184" t="str" cm="1">
        <f t="array" ref="AI174">IF(Tabela_SP5_nst[[#This Row],[czy.ects]]="TAK",_xlfn.IFS(AND(Tabela_SP5_nst[[#This Row],[sem9.godziny]]&gt;=$Q$200,Tabela_SP5_nst[[#This Row],[sem9.forma]]="z"),8,AND(Tabela_SP5_nst[[#This Row],[sem9.godziny]]&gt;=$I$200,Tabela_SP5_nst[[#This Row],[sem9.forma]]="z"),4,AND(Tabela_SP5_nst[[#This Row],[sem9.godziny]]&gt;=$H$200,Tabela_SP5_nst[[#This Row],[sem9.forma]]="e"),2,AND(Tabela_SP5_nst[[#This Row],[sem9.godziny]]&lt;$H$200,Tabela_SP5_nst[[#This Row],[sem9.forma]]="e"),1,AND(Tabela_SP5_nst[[#This Row],[sem9.godziny]]&gt;=$H$200,Tabela_SP5_nst[[#This Row],[sem9.forma]]="z"),2,AND(Tabela_SP5_nst[[#This Row],[sem9.godziny]]&lt;$H$200,Tabela_SP5_nst[[#This Row],[sem9.forma]]="z"),1,TRUE,""),"")</f>
        <v/>
      </c>
      <c r="AJ174" s="184" t="str">
        <f>IF(Tabela_SP5[[#This Row],[sem9.forma]]&lt;&gt;"",Tabela_SP5[[#This Row],[sem9.forma]],"")</f>
        <v/>
      </c>
      <c r="AK174" s="185" t="str" cm="1">
        <f t="array" ref="AK174">_xlfn.IFS(AND(OR(Tabela_SP5[[#This Row],[Forma]]="praktyka",Tabela_SP5[[#This Row],[Forma]]="instruktaż"),Tabela_SP5[[#This Row],[sem10.godziny]]&gt;1),Tabela_SP5[[#This Row],[sem10.godziny]],Tabela_SP5[[#This Row],[sem10.godziny]]&gt;14,Tabela_SP5[[#This Row],[sem10.godziny]]*0.6,Tabela_SP5[[#This Row],[sem10.godziny]]&gt;1,Tabela_SP5[[#This Row],[sem10.godziny]],TRUE,"")</f>
        <v/>
      </c>
      <c r="AL174" s="185" t="str" cm="1">
        <f t="array" ref="AL174">IF(Tabela_SP5_nst[[#This Row],[czy.ects]]="TAK",_xlfn.IFS(AND(Tabela_SP5_nst[[#This Row],[sem10.godziny]]&gt;=$Q$200,Tabela_SP5_nst[[#This Row],[sem10.forma]]="z"),8,AND(Tabela_SP5_nst[[#This Row],[sem10.godziny]]&gt;=$I$200,Tabela_SP5_nst[[#This Row],[sem10.forma]]="z"),4,AND(Tabela_SP5_nst[[#This Row],[sem10.godziny]]&gt;=$H$200,Tabela_SP5_nst[[#This Row],[sem10.forma]]="e"),2,AND(Tabela_SP5_nst[[#This Row],[sem10.godziny]]&lt;$H$200,Tabela_SP5_nst[[#This Row],[sem10.forma]]="e"),1,AND(Tabela_SP5_nst[[#This Row],[sem10.godziny]]&gt;=$H$200,Tabela_SP5_nst[[#This Row],[sem10.forma]]="z"),2,AND(Tabela_SP5_nst[[#This Row],[sem10.godziny]]&lt;$H$200,Tabela_SP5_nst[[#This Row],[sem10.forma]]="z"),1,TRUE,""),"")</f>
        <v/>
      </c>
      <c r="AM174" s="185" t="str">
        <f>IF(Tabela_SP5[[#This Row],[sem10.forma]]&lt;&gt;"",Tabela_SP5[[#This Row],[sem10.forma]],"")</f>
        <v/>
      </c>
      <c r="AN174" s="186">
        <f>SUM(Tabela_SP5_nst[[#This Row],[sem1.ects]],Tabela_SP5_nst[[#This Row],[sem2.ects]],Tabela_SP5_nst[[#This Row],[sem3.ects]],Tabela_SP5_nst[[#This Row],[sem4.ects]],Tabela_SP5_nst[[#This Row],[sem5.ects]],Tabela_SP5_nst[[#This Row],[sem6.ects]],Tabela_SP5_nst[[#This Row],[sem7.ects]],Tabela_SP5_nst[[#This Row],[sem8.ects]],Tabela_SP5_nst[[#This Row],[sem9.ects]],Tabela_SP5_nst[[#This Row],[sem10.ects]])</f>
        <v>0</v>
      </c>
      <c r="AO174" s="187">
        <f>IF(ISERR(SEARCH("UP",Tabela_SP5_nst[[#This Row],[Umiej.prakt.]],1)),0,Tabela_SP5_nst[[#This Row],[ects.razem]])</f>
        <v>0</v>
      </c>
      <c r="AP174" s="188">
        <f>IF(Tabela_SP5_nst[[#This Row],[czy.ects]]="TAK",ROUND((SUM(Tabela_SP5_nst[[#This Row],[godziny.konsultacja]],Tabela_SP5_nst[[#This Row],[godziny.egzamin]],Tabela_SP5_nst[[#This Row],[godziny.zajec.razem]])/25)/0.5,0)*0.5,0)</f>
        <v>0</v>
      </c>
      <c r="AQ174" s="310">
        <f>SUM(Tabela_SP5_nst[[#This Row],[godziny.samoksztalcenie]],Tabela_SP5_nst[[#This Row],[godziny.konsultacja]],Tabela_SP5_nst[[#This Row],[godziny.egzamin]],Tabela_SP5_nst[[#This Row],[godziny.zajec.razem]])</f>
        <v>0</v>
      </c>
      <c r="AR174" s="226">
        <f>Tabela_SP5[[#This Row],[godziny.samoksztalcenie]]+(Tabela_SP5[[#This Row],[godziny.zajec.razem]]-Tabela_SP5_nst[[#This Row],[godziny.zajec.razem]])</f>
        <v>0</v>
      </c>
      <c r="AS174" s="189">
        <f>Tabela_SP5[[#This Row],[godziny.konsultacja]]</f>
        <v>0</v>
      </c>
      <c r="AT174" s="228">
        <f>Tabela_SP5[[#This Row],[godziny.egzamin]]</f>
        <v>0</v>
      </c>
      <c r="AU174" s="190">
        <f>SUM(Tabela_SP5_nst[[#This Row],[sem1.godziny]],Tabela_SP5_nst[[#This Row],[sem2.godziny]],Tabela_SP5_nst[[#This Row],[sem3.godziny]],Tabela_SP5_nst[[#This Row],[sem4.godziny]],Tabela_SP5_nst[[#This Row],[sem5.godziny]],Tabela_SP5_nst[[#This Row],[sem6.godziny]],Tabela_SP5_nst[[#This Row],[sem7.godziny]],Tabela_SP5_nst[[#This Row],[sem8.godziny]],Tabela_SP5_nst[[#This Row],[sem9.godziny]],Tabela_SP5_nst[[#This Row],[sem10.godziny]])</f>
        <v>0</v>
      </c>
      <c r="AV174" s="334">
        <f>IF(Tabela_SP5_nst[[#This Row],[ects.bezposr.nauczyciel]],Tabela_SP5_nst[[#This Row],[ects.bezposr.nauczyciel]]/Tabela_SP5_nst[[#This Row],[ects.razem]],0)</f>
        <v>0</v>
      </c>
      <c r="AW174" s="207"/>
    </row>
    <row r="175" spans="1:49" ht="25.5" hidden="1" customHeight="1" x14ac:dyDescent="0.3">
      <c r="A175" s="207"/>
      <c r="B175" s="77"/>
      <c r="C175" s="49"/>
      <c r="D175" s="49"/>
      <c r="E175" s="49"/>
      <c r="F175" s="7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78"/>
      <c r="R175" s="49"/>
      <c r="S175" s="49"/>
      <c r="T175" s="49"/>
      <c r="U175" s="49"/>
      <c r="V175" s="49"/>
      <c r="W175" s="49"/>
      <c r="X175" s="49"/>
      <c r="Y175" s="49"/>
      <c r="Z175" s="49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207"/>
      <c r="AP175" s="207"/>
      <c r="AQ175" s="207"/>
      <c r="AR175" s="207"/>
      <c r="AS175" s="207"/>
      <c r="AT175" s="207"/>
      <c r="AU175" s="207"/>
      <c r="AV175" s="207"/>
      <c r="AW175" s="207"/>
    </row>
    <row r="176" spans="1:49" ht="25.5" customHeight="1" x14ac:dyDescent="0.3">
      <c r="A176" s="207"/>
      <c r="B176" s="77"/>
      <c r="C176" s="49"/>
      <c r="D176" s="49"/>
      <c r="E176" s="49"/>
      <c r="F176" s="7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78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207"/>
      <c r="AP176" s="207"/>
      <c r="AQ176" s="207"/>
      <c r="AR176" s="207"/>
      <c r="AS176" s="207"/>
      <c r="AT176" s="207"/>
      <c r="AU176" s="207"/>
      <c r="AV176" s="207"/>
      <c r="AW176" s="207"/>
    </row>
    <row r="177" spans="1:49" ht="25.5" customHeight="1" x14ac:dyDescent="0.3">
      <c r="A177" s="207"/>
      <c r="B177" s="77"/>
      <c r="C177" s="49"/>
      <c r="D177" s="49"/>
      <c r="E177" s="49"/>
      <c r="F177" s="7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78"/>
      <c r="R177" s="49"/>
      <c r="S177" s="49"/>
      <c r="T177" s="49"/>
      <c r="U177" s="49"/>
      <c r="V177" s="49"/>
      <c r="W177" s="49"/>
      <c r="X177" s="49"/>
      <c r="Y177" s="49"/>
      <c r="Z177" s="49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207"/>
      <c r="AP177" s="207"/>
      <c r="AQ177" s="207"/>
      <c r="AR177" s="207"/>
      <c r="AS177" s="207"/>
      <c r="AT177" s="207"/>
      <c r="AU177" s="207"/>
      <c r="AV177" s="207"/>
      <c r="AW177" s="207"/>
    </row>
    <row r="178" spans="1:49" ht="25.5" customHeight="1" x14ac:dyDescent="0.3">
      <c r="A178" s="207"/>
      <c r="B178" s="77"/>
      <c r="C178" s="49"/>
      <c r="D178" s="49"/>
      <c r="E178" s="49"/>
      <c r="F178" s="7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78"/>
      <c r="R178" s="49"/>
      <c r="S178" s="49"/>
      <c r="T178" s="49"/>
      <c r="U178" s="49"/>
      <c r="V178" s="49"/>
      <c r="W178" s="49"/>
      <c r="X178" s="49"/>
      <c r="Y178" s="49"/>
      <c r="Z178" s="49"/>
      <c r="AA178" s="49"/>
      <c r="AB178" s="49"/>
      <c r="AC178" s="49"/>
      <c r="AD178" s="49"/>
      <c r="AE178" s="49"/>
      <c r="AF178" s="49"/>
      <c r="AG178" s="49"/>
      <c r="AH178" s="49"/>
      <c r="AI178" s="49"/>
      <c r="AJ178" s="49"/>
      <c r="AK178" s="49"/>
      <c r="AL178" s="49"/>
      <c r="AM178" s="49"/>
      <c r="AN178" s="49"/>
      <c r="AO178" s="207"/>
      <c r="AP178" s="207"/>
      <c r="AQ178" s="207"/>
      <c r="AR178" s="207"/>
      <c r="AS178" s="207"/>
      <c r="AT178" s="207"/>
      <c r="AU178" s="207"/>
      <c r="AV178" s="207"/>
      <c r="AW178" s="207"/>
    </row>
    <row r="179" spans="1:49" ht="25.5" customHeight="1" x14ac:dyDescent="0.3">
      <c r="A179" s="207"/>
      <c r="B179" s="77"/>
      <c r="C179" s="49"/>
      <c r="D179" s="49"/>
      <c r="E179" s="49"/>
      <c r="F179" s="7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78"/>
      <c r="R179" s="49"/>
      <c r="S179" s="49"/>
      <c r="T179" s="49"/>
      <c r="U179" s="49"/>
      <c r="V179" s="49"/>
      <c r="W179" s="49"/>
      <c r="X179" s="49"/>
      <c r="Y179" s="49"/>
      <c r="Z179" s="49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207"/>
      <c r="AP179" s="207"/>
      <c r="AQ179" s="207"/>
      <c r="AR179" s="207"/>
      <c r="AS179" s="207"/>
      <c r="AT179" s="207"/>
      <c r="AU179" s="207"/>
      <c r="AV179" s="207"/>
      <c r="AW179" s="207"/>
    </row>
    <row r="180" spans="1:49" ht="25.5" customHeight="1" x14ac:dyDescent="0.3">
      <c r="A180" s="207"/>
      <c r="B180" s="77"/>
      <c r="C180" s="49"/>
      <c r="D180" s="49"/>
      <c r="E180" s="49"/>
      <c r="F180" s="7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78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49"/>
      <c r="AD180" s="49"/>
      <c r="AE180" s="49"/>
      <c r="AF180" s="49"/>
      <c r="AG180" s="49"/>
      <c r="AH180" s="49"/>
      <c r="AI180" s="49"/>
      <c r="AJ180" s="49"/>
      <c r="AK180" s="49"/>
      <c r="AL180" s="49"/>
      <c r="AM180" s="49"/>
      <c r="AN180" s="49"/>
      <c r="AO180" s="207"/>
      <c r="AP180" s="207"/>
      <c r="AQ180" s="207"/>
      <c r="AR180" s="207"/>
      <c r="AS180" s="207"/>
      <c r="AT180" s="207"/>
      <c r="AU180" s="207"/>
      <c r="AV180" s="207"/>
      <c r="AW180" s="207"/>
    </row>
    <row r="181" spans="1:49" ht="25.5" customHeight="1" x14ac:dyDescent="0.3">
      <c r="A181" s="207"/>
      <c r="B181" s="77"/>
      <c r="C181" s="49"/>
      <c r="D181" s="49"/>
      <c r="E181" s="49"/>
      <c r="F181" s="7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78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207"/>
      <c r="AP181" s="207"/>
      <c r="AQ181" s="207"/>
      <c r="AR181" s="207"/>
      <c r="AS181" s="207"/>
      <c r="AT181" s="207"/>
      <c r="AU181" s="207"/>
      <c r="AV181" s="207"/>
      <c r="AW181" s="207"/>
    </row>
    <row r="182" spans="1:49" ht="25.5" customHeight="1" x14ac:dyDescent="0.3">
      <c r="A182" s="207"/>
      <c r="B182" s="77"/>
      <c r="C182" s="49"/>
      <c r="D182" s="49"/>
      <c r="E182" s="49"/>
      <c r="F182" s="7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78"/>
      <c r="R182" s="49"/>
      <c r="S182" s="49"/>
      <c r="T182" s="49"/>
      <c r="U182" s="49"/>
      <c r="V182" s="49"/>
      <c r="W182" s="49"/>
      <c r="X182" s="49"/>
      <c r="Y182" s="49"/>
      <c r="Z182" s="49"/>
      <c r="AA182" s="49"/>
      <c r="AB182" s="49"/>
      <c r="AC182" s="49"/>
      <c r="AD182" s="49"/>
      <c r="AE182" s="49"/>
      <c r="AF182" s="49"/>
      <c r="AG182" s="49"/>
      <c r="AH182" s="49"/>
      <c r="AI182" s="49"/>
      <c r="AJ182" s="49"/>
      <c r="AK182" s="49"/>
      <c r="AL182" s="49"/>
      <c r="AM182" s="49"/>
      <c r="AN182" s="49"/>
      <c r="AO182" s="207"/>
      <c r="AP182" s="207"/>
      <c r="AQ182" s="207"/>
      <c r="AR182" s="207"/>
      <c r="AS182" s="207"/>
      <c r="AT182" s="207"/>
      <c r="AU182" s="207"/>
      <c r="AV182" s="207"/>
      <c r="AW182" s="207"/>
    </row>
    <row r="183" spans="1:49" ht="25.5" customHeight="1" x14ac:dyDescent="0.3">
      <c r="A183" s="207"/>
      <c r="B183" s="77"/>
      <c r="C183" s="49"/>
      <c r="D183" s="49"/>
      <c r="E183" s="49"/>
      <c r="F183" s="7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78"/>
      <c r="R183" s="49"/>
      <c r="S183" s="49"/>
      <c r="T183" s="49"/>
      <c r="U183" s="49"/>
      <c r="V183" s="49"/>
      <c r="W183" s="49"/>
      <c r="X183" s="49"/>
      <c r="Y183" s="49"/>
      <c r="Z183" s="49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207"/>
      <c r="AP183" s="207"/>
      <c r="AQ183" s="207"/>
      <c r="AR183" s="207"/>
      <c r="AS183" s="207"/>
      <c r="AT183" s="207"/>
      <c r="AU183" s="207"/>
      <c r="AV183" s="207"/>
      <c r="AW183" s="207"/>
    </row>
    <row r="184" spans="1:49" ht="25.5" customHeight="1" x14ac:dyDescent="0.3">
      <c r="A184" s="207"/>
      <c r="B184" s="77"/>
      <c r="C184" s="49"/>
      <c r="D184" s="49"/>
      <c r="E184" s="49"/>
      <c r="F184" s="7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78"/>
      <c r="R184" s="49"/>
      <c r="S184" s="49"/>
      <c r="T184" s="49"/>
      <c r="U184" s="49"/>
      <c r="V184" s="49"/>
      <c r="W184" s="49"/>
      <c r="X184" s="49"/>
      <c r="Y184" s="49"/>
      <c r="Z184" s="49"/>
      <c r="AA184" s="49"/>
      <c r="AB184" s="49"/>
      <c r="AC184" s="49"/>
      <c r="AD184" s="49"/>
      <c r="AE184" s="49"/>
      <c r="AF184" s="49"/>
      <c r="AG184" s="49"/>
      <c r="AH184" s="49"/>
      <c r="AI184" s="49"/>
      <c r="AJ184" s="49"/>
      <c r="AK184" s="49"/>
      <c r="AL184" s="49"/>
      <c r="AM184" s="49"/>
      <c r="AN184" s="49"/>
      <c r="AO184" s="207"/>
      <c r="AP184" s="207"/>
      <c r="AQ184" s="207"/>
      <c r="AR184" s="207"/>
      <c r="AS184" s="207"/>
      <c r="AT184" s="207"/>
      <c r="AU184" s="207"/>
      <c r="AV184" s="207"/>
      <c r="AW184" s="207"/>
    </row>
    <row r="185" spans="1:49" ht="25.5" customHeight="1" x14ac:dyDescent="0.3">
      <c r="A185" s="207"/>
      <c r="B185" s="77"/>
      <c r="C185" s="49"/>
      <c r="D185" s="49"/>
      <c r="E185" s="49"/>
      <c r="F185" s="7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78"/>
      <c r="R185" s="49"/>
      <c r="S185" s="49"/>
      <c r="T185" s="49"/>
      <c r="U185" s="49"/>
      <c r="V185" s="49"/>
      <c r="W185" s="49"/>
      <c r="X185" s="49"/>
      <c r="Y185" s="49"/>
      <c r="Z185" s="49"/>
      <c r="AA185" s="49"/>
      <c r="AB185" s="49"/>
      <c r="AC185" s="49"/>
      <c r="AD185" s="49"/>
      <c r="AE185" s="49"/>
      <c r="AF185" s="49"/>
      <c r="AG185" s="49"/>
      <c r="AH185" s="49"/>
      <c r="AI185" s="49"/>
      <c r="AJ185" s="49"/>
      <c r="AK185" s="49"/>
      <c r="AL185" s="49"/>
      <c r="AM185" s="49"/>
      <c r="AN185" s="49"/>
      <c r="AO185" s="207"/>
      <c r="AP185" s="207"/>
      <c r="AQ185" s="207"/>
      <c r="AR185" s="207"/>
      <c r="AS185" s="207"/>
      <c r="AT185" s="207"/>
      <c r="AU185" s="207"/>
      <c r="AV185" s="207"/>
      <c r="AW185" s="207"/>
    </row>
    <row r="186" spans="1:49" ht="25.5" customHeight="1" x14ac:dyDescent="0.3">
      <c r="A186" s="207"/>
      <c r="B186" s="77"/>
      <c r="C186" s="49"/>
      <c r="D186" s="49"/>
      <c r="E186" s="49"/>
      <c r="F186" s="7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78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207"/>
      <c r="AP186" s="207"/>
      <c r="AQ186" s="207"/>
      <c r="AR186" s="207"/>
      <c r="AS186" s="207"/>
      <c r="AT186" s="207"/>
      <c r="AU186" s="207"/>
      <c r="AV186" s="207"/>
      <c r="AW186" s="207"/>
    </row>
    <row r="187" spans="1:49" ht="25.5" customHeight="1" x14ac:dyDescent="0.3">
      <c r="A187" s="207"/>
      <c r="B187" s="77"/>
      <c r="C187" s="49"/>
      <c r="D187" s="49"/>
      <c r="E187" s="49"/>
      <c r="F187" s="7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78"/>
      <c r="R187" s="49"/>
      <c r="S187" s="49"/>
      <c r="T187" s="49"/>
      <c r="U187" s="49"/>
      <c r="V187" s="49"/>
      <c r="W187" s="49"/>
      <c r="X187" s="49"/>
      <c r="Y187" s="49"/>
      <c r="Z187" s="49"/>
      <c r="AA187" s="49"/>
      <c r="AB187" s="49"/>
      <c r="AC187" s="49"/>
      <c r="AD187" s="49"/>
      <c r="AE187" s="49"/>
      <c r="AF187" s="49"/>
      <c r="AG187" s="49"/>
      <c r="AH187" s="49"/>
      <c r="AI187" s="49"/>
      <c r="AJ187" s="49"/>
      <c r="AK187" s="49"/>
      <c r="AL187" s="49"/>
      <c r="AM187" s="49"/>
      <c r="AN187" s="49"/>
      <c r="AO187" s="207"/>
      <c r="AP187" s="207"/>
      <c r="AQ187" s="207"/>
      <c r="AR187" s="207"/>
      <c r="AS187" s="207"/>
      <c r="AT187" s="207"/>
      <c r="AU187" s="207"/>
      <c r="AV187" s="207"/>
      <c r="AW187" s="207"/>
    </row>
    <row r="188" spans="1:49" ht="25.5" customHeight="1" x14ac:dyDescent="0.3">
      <c r="A188" s="295"/>
      <c r="B188" s="8"/>
      <c r="C188" s="1"/>
      <c r="D188" s="1"/>
      <c r="E188" s="1"/>
      <c r="F188" s="10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9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295"/>
      <c r="AP188" s="295"/>
      <c r="AQ188" s="295"/>
      <c r="AR188" s="295"/>
      <c r="AS188" s="295"/>
      <c r="AT188" s="295"/>
      <c r="AU188" s="295"/>
      <c r="AV188" s="295"/>
      <c r="AW188" s="295"/>
    </row>
    <row r="189" spans="1:49" ht="25.5" customHeight="1" x14ac:dyDescent="0.3">
      <c r="A189" s="295"/>
      <c r="B189" s="8"/>
      <c r="C189" s="1"/>
      <c r="D189" s="1"/>
      <c r="E189" s="1"/>
      <c r="F189" s="10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9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295"/>
      <c r="AP189" s="295"/>
      <c r="AQ189" s="295"/>
      <c r="AR189" s="295"/>
      <c r="AS189" s="295"/>
      <c r="AT189" s="295"/>
      <c r="AU189" s="295"/>
      <c r="AV189" s="295"/>
      <c r="AW189" s="295"/>
    </row>
    <row r="190" spans="1:49" ht="25.5" customHeight="1" x14ac:dyDescent="0.3">
      <c r="A190" s="295"/>
      <c r="B190" s="8"/>
      <c r="C190" s="1"/>
      <c r="D190" s="1"/>
      <c r="E190" s="1"/>
      <c r="F190" s="10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9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295"/>
      <c r="AP190" s="295"/>
      <c r="AQ190" s="295"/>
      <c r="AR190" s="295"/>
      <c r="AS190" s="295"/>
      <c r="AT190" s="295"/>
      <c r="AU190" s="295"/>
      <c r="AV190" s="295"/>
      <c r="AW190" s="295"/>
    </row>
    <row r="191" spans="1:49" ht="17.25" customHeight="1" x14ac:dyDescent="0.3">
      <c r="A191" s="295"/>
      <c r="B191" s="8"/>
      <c r="C191" s="1"/>
      <c r="D191" s="1"/>
      <c r="E191" s="1"/>
      <c r="F191" s="10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9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295"/>
      <c r="AP191" s="295"/>
      <c r="AQ191" s="295"/>
      <c r="AR191" s="295"/>
      <c r="AS191" s="295"/>
      <c r="AT191" s="295"/>
      <c r="AU191" s="295"/>
      <c r="AV191" s="295"/>
      <c r="AW191" s="295"/>
    </row>
    <row r="192" spans="1:49" ht="17.25" customHeight="1" x14ac:dyDescent="0.3">
      <c r="A192" s="295"/>
      <c r="B192" s="8"/>
      <c r="C192" s="1"/>
      <c r="D192" s="1"/>
      <c r="E192" s="1"/>
      <c r="F192" s="10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9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295"/>
      <c r="AP192" s="295"/>
      <c r="AQ192" s="295"/>
      <c r="AR192" s="295"/>
      <c r="AS192" s="295"/>
      <c r="AT192" s="295"/>
      <c r="AU192" s="295"/>
      <c r="AV192" s="295"/>
      <c r="AW192" s="295"/>
    </row>
    <row r="193" spans="1:49" ht="17.25" customHeight="1" x14ac:dyDescent="0.3">
      <c r="A193" s="295"/>
      <c r="B193" s="8"/>
      <c r="C193" s="1"/>
      <c r="D193" s="1"/>
      <c r="E193" s="1"/>
      <c r="F193" s="10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9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295"/>
      <c r="AP193" s="295"/>
      <c r="AQ193" s="295"/>
      <c r="AR193" s="295"/>
      <c r="AS193" s="295"/>
      <c r="AT193" s="295"/>
      <c r="AU193" s="295"/>
      <c r="AV193" s="295"/>
      <c r="AW193" s="295"/>
    </row>
    <row r="194" spans="1:49" ht="17.25" customHeight="1" thickBot="1" x14ac:dyDescent="0.35">
      <c r="A194" s="295"/>
      <c r="B194" s="8"/>
      <c r="C194" s="1"/>
      <c r="D194" s="1"/>
      <c r="E194" s="1"/>
      <c r="F194" s="10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9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295"/>
      <c r="AP194" s="295"/>
      <c r="AQ194" s="295"/>
      <c r="AR194" s="295"/>
      <c r="AS194" s="295"/>
      <c r="AT194" s="295"/>
      <c r="AU194" s="295"/>
      <c r="AV194" s="295"/>
      <c r="AW194" s="295"/>
    </row>
    <row r="195" spans="1:49" ht="17.25" customHeight="1" x14ac:dyDescent="0.3">
      <c r="A195" s="295"/>
      <c r="B195" s="8"/>
      <c r="C195" s="1"/>
      <c r="D195" s="1"/>
      <c r="E195" s="1"/>
      <c r="F195" s="10"/>
      <c r="G195" s="296">
        <v>9</v>
      </c>
      <c r="H195" s="296">
        <v>18</v>
      </c>
      <c r="I195" s="296">
        <v>27</v>
      </c>
      <c r="J195" s="296">
        <v>36</v>
      </c>
      <c r="K195" s="296">
        <v>45</v>
      </c>
      <c r="L195" s="296">
        <v>54</v>
      </c>
      <c r="M195" s="296">
        <v>63</v>
      </c>
      <c r="N195" s="296">
        <v>72</v>
      </c>
      <c r="O195" s="296">
        <v>81</v>
      </c>
      <c r="P195" s="296">
        <v>90</v>
      </c>
      <c r="Q195" s="297">
        <v>100</v>
      </c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295"/>
      <c r="AP195" s="295"/>
      <c r="AQ195" s="295"/>
      <c r="AR195" s="295"/>
      <c r="AS195" s="295"/>
      <c r="AT195" s="295"/>
      <c r="AU195" s="295"/>
      <c r="AV195" s="295"/>
      <c r="AW195" s="295"/>
    </row>
    <row r="196" spans="1:49" ht="17.25" customHeight="1" x14ac:dyDescent="0.3">
      <c r="A196" s="295"/>
      <c r="B196" s="8"/>
      <c r="C196" s="1"/>
      <c r="D196" s="1"/>
      <c r="E196" s="1"/>
      <c r="F196" s="10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9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295"/>
      <c r="AP196" s="295"/>
      <c r="AQ196" s="295"/>
      <c r="AR196" s="295"/>
      <c r="AS196" s="295"/>
      <c r="AT196" s="295"/>
      <c r="AU196" s="295"/>
      <c r="AV196" s="295"/>
      <c r="AW196" s="295"/>
    </row>
    <row r="197" spans="1:49" ht="17.25" customHeight="1" x14ac:dyDescent="0.3">
      <c r="A197" s="295"/>
      <c r="B197" s="8"/>
      <c r="C197" s="1"/>
      <c r="D197" s="1"/>
      <c r="E197" s="1"/>
      <c r="F197" s="10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9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295"/>
      <c r="AP197" s="295"/>
      <c r="AQ197" s="295"/>
      <c r="AR197" s="295"/>
      <c r="AS197" s="295"/>
      <c r="AT197" s="295"/>
      <c r="AU197" s="295"/>
      <c r="AV197" s="295"/>
      <c r="AW197" s="295"/>
    </row>
    <row r="198" spans="1:49" ht="17.25" customHeight="1" thickBot="1" x14ac:dyDescent="0.35">
      <c r="A198" s="295"/>
      <c r="B198" s="8"/>
      <c r="C198" s="1"/>
      <c r="D198" s="1"/>
      <c r="E198" s="1"/>
      <c r="F198" s="1"/>
      <c r="G198" s="1"/>
      <c r="H198" s="1"/>
      <c r="I198" s="1"/>
      <c r="J198" s="1"/>
      <c r="K198" s="9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295"/>
      <c r="AI198" s="295"/>
      <c r="AJ198" s="295"/>
      <c r="AK198" s="295"/>
      <c r="AL198" s="295"/>
      <c r="AM198" s="295"/>
      <c r="AN198" s="295"/>
      <c r="AO198" s="295"/>
      <c r="AP198" s="295"/>
      <c r="AQ198" s="295"/>
      <c r="AR198" s="295"/>
      <c r="AS198" s="295"/>
      <c r="AT198" s="295"/>
      <c r="AU198" s="295"/>
      <c r="AV198" s="295"/>
      <c r="AW198" s="295"/>
    </row>
    <row r="199" spans="1:49" ht="17.25" customHeight="1" thickBot="1" x14ac:dyDescent="0.35">
      <c r="A199" s="295"/>
      <c r="B199" s="8"/>
      <c r="C199" s="1"/>
      <c r="D199" s="1"/>
      <c r="E199" s="1"/>
      <c r="F199" s="1"/>
      <c r="G199" s="296">
        <v>9</v>
      </c>
      <c r="H199" s="296">
        <v>18</v>
      </c>
      <c r="I199" s="296">
        <v>27</v>
      </c>
      <c r="J199" s="296">
        <v>36</v>
      </c>
      <c r="K199" s="296">
        <v>45</v>
      </c>
      <c r="L199" s="296">
        <v>54</v>
      </c>
      <c r="M199" s="296">
        <v>63</v>
      </c>
      <c r="N199" s="296">
        <v>72</v>
      </c>
      <c r="O199" s="296">
        <v>81</v>
      </c>
      <c r="P199" s="296">
        <v>90</v>
      </c>
      <c r="Q199" s="297">
        <v>100</v>
      </c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295"/>
      <c r="AI199" s="295"/>
      <c r="AJ199" s="295"/>
      <c r="AK199" s="295"/>
      <c r="AL199" s="295"/>
      <c r="AM199" s="295"/>
      <c r="AN199" s="295"/>
      <c r="AO199" s="295"/>
      <c r="AP199" s="295"/>
      <c r="AQ199" s="295"/>
      <c r="AR199" s="295"/>
      <c r="AS199" s="295"/>
      <c r="AT199" s="295"/>
      <c r="AU199" s="295"/>
      <c r="AV199" s="295"/>
      <c r="AW199" s="295"/>
    </row>
    <row r="200" spans="1:49" ht="17.25" customHeight="1" x14ac:dyDescent="0.3">
      <c r="A200" s="295"/>
      <c r="B200" s="8"/>
      <c r="C200" s="11" t="s">
        <v>46</v>
      </c>
      <c r="D200" s="12" t="s">
        <v>47</v>
      </c>
      <c r="E200" s="1"/>
      <c r="F200" s="298" t="s">
        <v>408</v>
      </c>
      <c r="G200" s="296">
        <v>9</v>
      </c>
      <c r="H200" s="296">
        <v>18</v>
      </c>
      <c r="I200" s="296">
        <v>27</v>
      </c>
      <c r="J200" s="296">
        <v>36</v>
      </c>
      <c r="K200" s="296">
        <v>45</v>
      </c>
      <c r="L200" s="296">
        <v>54</v>
      </c>
      <c r="M200" s="296">
        <v>63</v>
      </c>
      <c r="N200" s="296">
        <v>72</v>
      </c>
      <c r="O200" s="296">
        <v>81</v>
      </c>
      <c r="P200" s="296">
        <v>90</v>
      </c>
      <c r="Q200" s="297">
        <v>100</v>
      </c>
      <c r="R200" s="29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295"/>
      <c r="AI200" s="295"/>
      <c r="AJ200" s="295"/>
      <c r="AK200" s="295"/>
      <c r="AL200" s="295"/>
      <c r="AM200" s="295"/>
      <c r="AN200" s="295"/>
      <c r="AO200" s="295"/>
      <c r="AP200" s="295"/>
      <c r="AQ200" s="295"/>
      <c r="AR200" s="295"/>
      <c r="AS200" s="295"/>
      <c r="AT200" s="295"/>
      <c r="AU200" s="295"/>
      <c r="AV200" s="295"/>
      <c r="AW200" s="295"/>
    </row>
    <row r="201" spans="1:49" ht="17.25" customHeight="1" x14ac:dyDescent="0.3">
      <c r="A201" s="295"/>
      <c r="B201" s="8"/>
      <c r="C201" s="11"/>
      <c r="D201" s="14" t="s">
        <v>38</v>
      </c>
      <c r="E201" s="1" t="s">
        <v>32</v>
      </c>
      <c r="F201" s="299"/>
      <c r="G201" s="300"/>
      <c r="H201" s="300"/>
      <c r="I201" s="300"/>
      <c r="J201" s="300"/>
      <c r="K201" s="300"/>
      <c r="L201" s="300"/>
      <c r="M201" s="300"/>
      <c r="N201" s="300"/>
      <c r="O201" s="300"/>
      <c r="P201" s="300"/>
      <c r="Q201" s="301"/>
      <c r="R201" s="29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295"/>
      <c r="AI201" s="295"/>
      <c r="AJ201" s="295"/>
      <c r="AK201" s="295"/>
      <c r="AL201" s="295"/>
      <c r="AM201" s="295"/>
      <c r="AN201" s="295"/>
      <c r="AO201" s="295"/>
      <c r="AP201" s="295"/>
      <c r="AQ201" s="295"/>
      <c r="AR201" s="295"/>
      <c r="AS201" s="295"/>
      <c r="AT201" s="295"/>
      <c r="AU201" s="295"/>
      <c r="AV201" s="295"/>
      <c r="AW201" s="295"/>
    </row>
    <row r="202" spans="1:49" ht="17.25" customHeight="1" thickBot="1" x14ac:dyDescent="0.35">
      <c r="A202" s="295"/>
      <c r="B202" s="8"/>
      <c r="C202" s="13" t="s">
        <v>41</v>
      </c>
      <c r="D202" s="14" t="s">
        <v>434</v>
      </c>
      <c r="E202" s="1" t="s">
        <v>367</v>
      </c>
      <c r="F202" s="302"/>
      <c r="G202" s="303"/>
      <c r="H202" s="303"/>
      <c r="I202" s="303"/>
      <c r="J202" s="303"/>
      <c r="K202" s="303"/>
      <c r="L202" s="303"/>
      <c r="M202" s="303"/>
      <c r="N202" s="303"/>
      <c r="O202" s="303"/>
      <c r="P202" s="303"/>
      <c r="Q202" s="304"/>
      <c r="R202" s="29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295"/>
      <c r="AI202" s="295"/>
      <c r="AJ202" s="295"/>
      <c r="AK202" s="295"/>
      <c r="AL202" s="295"/>
      <c r="AM202" s="295"/>
      <c r="AN202" s="295"/>
      <c r="AO202" s="295"/>
      <c r="AP202" s="295"/>
      <c r="AQ202" s="295"/>
      <c r="AR202" s="295"/>
      <c r="AS202" s="295"/>
      <c r="AT202" s="295"/>
      <c r="AU202" s="295"/>
      <c r="AV202" s="295"/>
      <c r="AW202" s="295"/>
    </row>
    <row r="203" spans="1:49" ht="17.25" customHeight="1" x14ac:dyDescent="0.3">
      <c r="A203" s="295"/>
      <c r="B203" s="8"/>
      <c r="C203" s="13" t="s">
        <v>33</v>
      </c>
      <c r="D203" s="14" t="s">
        <v>37</v>
      </c>
      <c r="E203" s="1"/>
      <c r="F203" s="1"/>
      <c r="G203" s="1"/>
      <c r="H203" s="1"/>
      <c r="I203" s="1"/>
      <c r="J203" s="1"/>
      <c r="K203" s="9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295"/>
      <c r="AI203" s="295"/>
      <c r="AJ203" s="295"/>
      <c r="AK203" s="295"/>
      <c r="AL203" s="295"/>
      <c r="AM203" s="295"/>
      <c r="AN203" s="295"/>
      <c r="AO203" s="295"/>
      <c r="AP203" s="295"/>
      <c r="AQ203" s="295"/>
      <c r="AR203" s="295"/>
      <c r="AS203" s="295"/>
      <c r="AT203" s="295"/>
      <c r="AU203" s="295"/>
      <c r="AV203" s="295"/>
      <c r="AW203" s="295"/>
    </row>
    <row r="204" spans="1:49" ht="17.25" customHeight="1" x14ac:dyDescent="0.3">
      <c r="A204" s="295"/>
      <c r="B204" s="8"/>
      <c r="C204" s="13" t="s">
        <v>35</v>
      </c>
      <c r="D204" s="14" t="s">
        <v>31</v>
      </c>
      <c r="E204" s="1" t="s">
        <v>406</v>
      </c>
      <c r="F204" s="1"/>
      <c r="G204" s="1"/>
      <c r="H204" s="1"/>
      <c r="I204" s="1"/>
      <c r="J204" s="1"/>
      <c r="K204" s="9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295"/>
      <c r="AI204" s="295"/>
      <c r="AJ204" s="295"/>
      <c r="AK204" s="295"/>
      <c r="AL204" s="295"/>
      <c r="AM204" s="295"/>
      <c r="AN204" s="295"/>
      <c r="AO204" s="295"/>
      <c r="AP204" s="295"/>
      <c r="AQ204" s="295"/>
      <c r="AR204" s="295"/>
      <c r="AS204" s="295"/>
      <c r="AT204" s="295"/>
      <c r="AU204" s="295"/>
      <c r="AV204" s="295"/>
      <c r="AW204" s="295"/>
    </row>
    <row r="205" spans="1:49" ht="17.25" customHeight="1" x14ac:dyDescent="0.3">
      <c r="A205" s="295"/>
      <c r="B205" s="8"/>
      <c r="C205" s="13" t="s">
        <v>48</v>
      </c>
      <c r="D205" s="14" t="s">
        <v>39</v>
      </c>
      <c r="E205" s="1"/>
      <c r="F205" s="1"/>
      <c r="G205" s="1"/>
      <c r="H205" s="1"/>
      <c r="I205" s="1"/>
      <c r="J205" s="1"/>
      <c r="K205" s="9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295"/>
      <c r="AJ205" s="295"/>
      <c r="AK205" s="295"/>
      <c r="AL205" s="295"/>
      <c r="AM205" s="295"/>
      <c r="AN205" s="295"/>
      <c r="AO205" s="295"/>
      <c r="AP205" s="295"/>
      <c r="AQ205" s="295"/>
      <c r="AR205" s="295"/>
      <c r="AS205" s="295"/>
      <c r="AT205" s="295"/>
      <c r="AU205" s="295"/>
      <c r="AV205" s="295"/>
      <c r="AW205" s="295"/>
    </row>
    <row r="206" spans="1:49" ht="17.25" customHeight="1" x14ac:dyDescent="0.3">
      <c r="A206" s="295"/>
      <c r="B206" s="8"/>
      <c r="C206" s="1"/>
      <c r="D206" s="14" t="s">
        <v>44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295"/>
      <c r="AJ206" s="295"/>
      <c r="AK206" s="295"/>
      <c r="AL206" s="295"/>
      <c r="AM206" s="295"/>
      <c r="AN206" s="295"/>
      <c r="AO206" s="295"/>
      <c r="AP206" s="295"/>
      <c r="AQ206" s="295"/>
      <c r="AR206" s="295"/>
      <c r="AS206" s="295"/>
      <c r="AT206" s="295"/>
      <c r="AU206" s="295"/>
      <c r="AV206" s="295"/>
      <c r="AW206" s="295"/>
    </row>
    <row r="207" spans="1:49" ht="17.25" customHeight="1" x14ac:dyDescent="0.3">
      <c r="A207" s="295"/>
      <c r="B207" s="8"/>
      <c r="C207" s="1"/>
      <c r="D207" s="14" t="s">
        <v>49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295"/>
      <c r="AJ207" s="295"/>
      <c r="AK207" s="295"/>
      <c r="AL207" s="295"/>
      <c r="AM207" s="295"/>
      <c r="AN207" s="295"/>
      <c r="AO207" s="295"/>
      <c r="AP207" s="295"/>
      <c r="AQ207" s="295"/>
      <c r="AR207" s="295"/>
      <c r="AS207" s="295"/>
      <c r="AT207" s="295"/>
      <c r="AU207" s="295"/>
      <c r="AV207" s="295"/>
      <c r="AW207" s="295"/>
    </row>
    <row r="208" spans="1:49" ht="17.25" customHeight="1" x14ac:dyDescent="0.3">
      <c r="A208" s="295"/>
      <c r="B208" s="8"/>
      <c r="C208" s="1"/>
      <c r="D208" s="14" t="s">
        <v>50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295"/>
      <c r="AJ208" s="295"/>
      <c r="AK208" s="295"/>
      <c r="AL208" s="295"/>
      <c r="AM208" s="295"/>
      <c r="AN208" s="295"/>
      <c r="AO208" s="295"/>
      <c r="AP208" s="295"/>
      <c r="AQ208" s="295"/>
      <c r="AR208" s="295"/>
      <c r="AS208" s="295"/>
      <c r="AT208" s="295"/>
      <c r="AU208" s="295"/>
      <c r="AV208" s="295"/>
      <c r="AW208" s="295"/>
    </row>
    <row r="209" spans="1:49" ht="17.25" customHeight="1" x14ac:dyDescent="0.3">
      <c r="A209" s="295"/>
      <c r="B209" s="8"/>
      <c r="C209" s="1"/>
      <c r="D209" s="14" t="s">
        <v>51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295"/>
      <c r="AJ209" s="295"/>
      <c r="AK209" s="295"/>
      <c r="AL209" s="295"/>
      <c r="AM209" s="295"/>
      <c r="AN209" s="295"/>
      <c r="AO209" s="295"/>
      <c r="AP209" s="295"/>
      <c r="AQ209" s="295"/>
      <c r="AR209" s="295"/>
      <c r="AS209" s="295"/>
      <c r="AT209" s="295"/>
      <c r="AU209" s="295"/>
      <c r="AV209" s="295"/>
      <c r="AW209" s="295"/>
    </row>
    <row r="210" spans="1:49" ht="17.25" customHeight="1" x14ac:dyDescent="0.3">
      <c r="A210" s="295"/>
      <c r="B210" s="8"/>
      <c r="C210" s="1"/>
      <c r="D210" s="14" t="s">
        <v>34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295"/>
      <c r="AJ210" s="295"/>
      <c r="AK210" s="295"/>
      <c r="AL210" s="295"/>
      <c r="AM210" s="295"/>
      <c r="AN210" s="295"/>
      <c r="AO210" s="295"/>
      <c r="AP210" s="295"/>
      <c r="AQ210" s="295"/>
      <c r="AR210" s="295"/>
      <c r="AS210" s="295"/>
      <c r="AT210" s="295"/>
      <c r="AU210" s="295"/>
      <c r="AV210" s="295"/>
      <c r="AW210" s="295"/>
    </row>
    <row r="211" spans="1:49" ht="17.25" customHeight="1" thickBot="1" x14ac:dyDescent="0.35">
      <c r="A211" s="295"/>
      <c r="B211" s="8"/>
      <c r="C211" s="1"/>
      <c r="D211" s="15" t="s">
        <v>43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295"/>
      <c r="AJ211" s="295"/>
      <c r="AK211" s="295"/>
      <c r="AL211" s="295"/>
      <c r="AM211" s="295"/>
      <c r="AN211" s="295"/>
      <c r="AO211" s="295"/>
      <c r="AP211" s="295"/>
      <c r="AQ211" s="295"/>
      <c r="AR211" s="295"/>
      <c r="AS211" s="295"/>
      <c r="AT211" s="295"/>
      <c r="AU211" s="295"/>
      <c r="AV211" s="295"/>
      <c r="AW211" s="295"/>
    </row>
    <row r="212" spans="1:49" ht="17.25" customHeight="1" x14ac:dyDescent="0.3">
      <c r="A212" s="295"/>
      <c r="B212" s="8"/>
      <c r="C212" s="1"/>
      <c r="D212" s="1"/>
      <c r="E212" s="1"/>
      <c r="F212" s="1"/>
      <c r="G212" s="1"/>
      <c r="H212" s="1"/>
      <c r="I212" s="1"/>
      <c r="J212" s="1"/>
      <c r="K212" s="9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295"/>
      <c r="AJ212" s="295"/>
      <c r="AK212" s="295"/>
      <c r="AL212" s="295"/>
      <c r="AM212" s="295"/>
      <c r="AN212" s="295"/>
      <c r="AO212" s="295"/>
      <c r="AP212" s="295"/>
      <c r="AQ212" s="295"/>
      <c r="AR212" s="295"/>
      <c r="AS212" s="295"/>
      <c r="AT212" s="295"/>
      <c r="AU212" s="295"/>
      <c r="AV212" s="295"/>
      <c r="AW212" s="295"/>
    </row>
    <row r="213" spans="1:49" ht="17.25" customHeight="1" x14ac:dyDescent="0.3">
      <c r="A213" s="295"/>
      <c r="B213" s="8"/>
      <c r="C213" s="1"/>
      <c r="D213" s="1"/>
      <c r="E213" s="1"/>
      <c r="F213" s="1"/>
      <c r="G213" s="1"/>
      <c r="H213" s="1"/>
      <c r="I213" s="1"/>
      <c r="J213" s="1"/>
      <c r="K213" s="9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295"/>
      <c r="AJ213" s="295"/>
      <c r="AK213" s="295"/>
      <c r="AL213" s="295"/>
      <c r="AM213" s="295"/>
      <c r="AN213" s="295"/>
      <c r="AO213" s="295"/>
      <c r="AP213" s="295"/>
      <c r="AQ213" s="295"/>
      <c r="AR213" s="295"/>
      <c r="AS213" s="295"/>
      <c r="AT213" s="295"/>
      <c r="AU213" s="295"/>
      <c r="AV213" s="295"/>
      <c r="AW213" s="295"/>
    </row>
    <row r="214" spans="1:49" ht="15.75" customHeight="1" x14ac:dyDescent="0.3">
      <c r="A214" s="295"/>
      <c r="B214" s="295"/>
      <c r="C214" s="295"/>
      <c r="D214" s="295"/>
      <c r="E214" s="295"/>
      <c r="F214" s="295"/>
      <c r="G214" s="295"/>
      <c r="H214" s="295"/>
      <c r="I214" s="295"/>
      <c r="J214" s="295"/>
      <c r="K214" s="295"/>
      <c r="L214" s="295"/>
      <c r="M214" s="295"/>
      <c r="N214" s="295"/>
      <c r="O214" s="295"/>
      <c r="P214" s="295"/>
      <c r="Q214" s="295"/>
      <c r="R214" s="295"/>
      <c r="S214" s="295"/>
      <c r="T214" s="295"/>
      <c r="U214" s="295"/>
      <c r="V214" s="295"/>
      <c r="W214" s="295"/>
      <c r="X214" s="295"/>
      <c r="Y214" s="295"/>
      <c r="Z214" s="295"/>
      <c r="AA214" s="295"/>
      <c r="AB214" s="295"/>
      <c r="AC214" s="295"/>
      <c r="AD214" s="295"/>
      <c r="AE214" s="295"/>
      <c r="AF214" s="295"/>
      <c r="AG214" s="295"/>
      <c r="AH214" s="295"/>
      <c r="AI214" s="295"/>
      <c r="AJ214" s="295"/>
      <c r="AK214" s="295"/>
      <c r="AL214" s="295"/>
      <c r="AM214" s="295"/>
      <c r="AN214" s="295"/>
      <c r="AO214" s="295"/>
      <c r="AP214" s="295"/>
      <c r="AQ214" s="295"/>
      <c r="AR214" s="295"/>
      <c r="AS214" s="295"/>
      <c r="AT214" s="295"/>
      <c r="AU214" s="295"/>
      <c r="AV214" s="295"/>
      <c r="AW214" s="295"/>
    </row>
    <row r="215" spans="1:49" ht="15.75" customHeight="1" x14ac:dyDescent="0.2"/>
    <row r="216" spans="1:49" ht="15.75" customHeight="1" x14ac:dyDescent="0.2"/>
    <row r="217" spans="1:49" ht="15.75" customHeight="1" x14ac:dyDescent="0.2"/>
    <row r="218" spans="1:49" ht="15.75" customHeight="1" x14ac:dyDescent="0.2"/>
    <row r="219" spans="1:49" ht="15.75" customHeight="1" x14ac:dyDescent="0.2"/>
    <row r="220" spans="1:49" ht="15.75" customHeight="1" x14ac:dyDescent="0.2"/>
    <row r="221" spans="1:49" ht="15.75" customHeight="1" x14ac:dyDescent="0.2"/>
    <row r="222" spans="1:49" ht="15.75" customHeight="1" x14ac:dyDescent="0.2"/>
    <row r="223" spans="1:49" ht="15.75" customHeight="1" x14ac:dyDescent="0.2"/>
    <row r="224" spans="1:49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</sheetData>
  <sheetProtection formatCells="0" insertRows="0" deleteRows="0" sort="0" autoFilter="0"/>
  <mergeCells count="37">
    <mergeCell ref="B136:I136"/>
    <mergeCell ref="B156:I156"/>
    <mergeCell ref="B44:I44"/>
    <mergeCell ref="B87:I87"/>
    <mergeCell ref="B15:I15"/>
    <mergeCell ref="B78:G78"/>
    <mergeCell ref="B79:I79"/>
    <mergeCell ref="B120:I120"/>
    <mergeCell ref="B103:I103"/>
    <mergeCell ref="AN3:AV3"/>
    <mergeCell ref="B14:G14"/>
    <mergeCell ref="M3:O3"/>
    <mergeCell ref="P3:R3"/>
    <mergeCell ref="S3:U3"/>
    <mergeCell ref="V3:X3"/>
    <mergeCell ref="Y3:AA3"/>
    <mergeCell ref="AB3:AD3"/>
    <mergeCell ref="B3:E3"/>
    <mergeCell ref="F3:F4"/>
    <mergeCell ref="G3:G4"/>
    <mergeCell ref="H3:H4"/>
    <mergeCell ref="I3:I4"/>
    <mergeCell ref="B12:K12"/>
    <mergeCell ref="AH2:AM2"/>
    <mergeCell ref="J3:L3"/>
    <mergeCell ref="J2:O2"/>
    <mergeCell ref="P2:U2"/>
    <mergeCell ref="V2:AA2"/>
    <mergeCell ref="AB2:AG2"/>
    <mergeCell ref="AE3:AG3"/>
    <mergeCell ref="AH3:AJ3"/>
    <mergeCell ref="AK3:AM3"/>
    <mergeCell ref="B2:I2"/>
    <mergeCell ref="B26:G26"/>
    <mergeCell ref="B27:I27"/>
    <mergeCell ref="B43:G43"/>
    <mergeCell ref="H43:I43"/>
  </mergeCells>
  <conditionalFormatting sqref="J29:J41">
    <cfRule type="cellIs" dxfId="7" priority="13" stopIfTrue="1" operator="equal">
      <formula>0</formula>
    </cfRule>
  </conditionalFormatting>
  <conditionalFormatting sqref="K6:K10 N6:N10 Q6:Q10 T6:T10 W6:W10 Z6:Z10 AC6:AC10 AF6:AF10 AI6:AI10 AL6:AL10">
    <cfRule type="cellIs" dxfId="6" priority="1" operator="greaterThan">
      <formula>30</formula>
    </cfRule>
    <cfRule type="cellIs" dxfId="5" priority="2" operator="between">
      <formula>1</formula>
      <formula>29</formula>
    </cfRule>
    <cfRule type="cellIs" dxfId="4" priority="3" operator="equal">
      <formula>30</formula>
    </cfRule>
  </conditionalFormatting>
  <conditionalFormatting sqref="AV6:AV11 AV13:AV118 AV120:AV134">
    <cfRule type="cellIs" dxfId="3" priority="14" operator="between">
      <formula>0.00001</formula>
      <formula>0.39999</formula>
    </cfRule>
  </conditionalFormatting>
  <conditionalFormatting sqref="AV12">
    <cfRule type="cellIs" dxfId="2" priority="6" operator="between">
      <formula>0.00001</formula>
      <formula>0.49999</formula>
    </cfRule>
  </conditionalFormatting>
  <conditionalFormatting sqref="AV136:AV154">
    <cfRule type="cellIs" dxfId="1" priority="5" operator="between">
      <formula>0.00001</formula>
      <formula>0.39999</formula>
    </cfRule>
  </conditionalFormatting>
  <conditionalFormatting sqref="AV156:AV174">
    <cfRule type="cellIs" dxfId="0" priority="4" operator="between">
      <formula>0.00001</formula>
      <formula>0.39999</formula>
    </cfRule>
  </conditionalFormatting>
  <dataValidations count="3">
    <dataValidation type="list" allowBlank="1" showInputMessage="1" showErrorMessage="1" errorTitle="Nieprawidłowa forma zajęć" error="Wybierz jedną z dostępnych form zajęć z listy rozwijalnej." promptTitle="Dostępne formy zajęć" prompt="_x000a_Wykład_x000a_Semiarium_x000a_Konwersatorium_x000a_Ćwiczenia_x000a_Laboratoria_x000a_Projekt_x000a_Warsztaty _x000a_Obóz szkoleniowy_x000a_Zajęcia plenerowe_x000a_Instruktaż_x000a_Praktyka" sqref="H102 H42 H86 H77" xr:uid="{148D980F-0979-4111-B502-418FCAD32BC2}">
      <formula1>$D$201:$D$211</formula1>
    </dataValidation>
    <dataValidation type="list" allowBlank="1" showInputMessage="1" showErrorMessage="1" errorTitle="Błędna forma zaliczenia" error="Wybierz jedną z dostępnych form zaliczenia z listy rozwijalnej." promptTitle="Dostępne wartości" prompt="_x000a_e - egzamin_x000a_z - zaliczenie z oceną_x000a_b - zaliczenie bez oceny_x000a_n - ???" sqref="X42 R42 U102 H3:I3 L102 AA102 R102 O102 X102 AA42 L42 O42 U42 R86 X77 X86 AA77 AA86 L77 L86 O77 O86 U77 U86 R77" xr:uid="{F84851BC-BB45-41A2-B473-23438A7AF925}">
      <formula1>$C$201:$C$205</formula1>
    </dataValidation>
    <dataValidation type="list" allowBlank="1" showInputMessage="1" showErrorMessage="1" errorTitle="Błędny wpis" error="Wybierz TAK lub NIE z listy rozwijalnej" promptTitle="Dostępne wartości" prompt="_x000a_TAK - przedmiot zawiera ECTS_x000a__x000a_NIE - przedmiot nie zawiera ECTS" sqref="I42 I102 I86 I77" xr:uid="{3984268C-9158-4EA6-9D34-9DE1D1B9B5F5}">
      <formula1>$E$201:$E$202</formula1>
    </dataValidation>
  </dataValidations>
  <pageMargins left="0.31496062992125984" right="0.31496062992125984" top="0.19685039370078741" bottom="0.19685039370078741" header="0" footer="0"/>
  <pageSetup scale="48" fitToHeight="0" orientation="landscape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33CC"/>
    <pageSetUpPr fitToPage="1"/>
  </sheetPr>
  <dimension ref="A1:Z1000"/>
  <sheetViews>
    <sheetView view="pageBreakPreview" topLeftCell="A130" zoomScale="85" zoomScaleNormal="100" zoomScaleSheetLayoutView="85" workbookViewId="0"/>
  </sheetViews>
  <sheetFormatPr defaultColWidth="12.625" defaultRowHeight="15" customHeight="1" x14ac:dyDescent="0.2"/>
  <cols>
    <col min="1" max="1" width="18.125" style="159" customWidth="1"/>
    <col min="2" max="2" width="91" style="159" bestFit="1" customWidth="1"/>
    <col min="3" max="3" width="55.125" style="159" customWidth="1"/>
    <col min="4" max="4" width="16.125" style="159" customWidth="1"/>
    <col min="5" max="5" width="7" style="159" customWidth="1"/>
    <col min="6" max="6" width="10.875" style="159" customWidth="1"/>
    <col min="7" max="26" width="7" style="159" customWidth="1"/>
    <col min="27" max="16384" width="12.625" style="159"/>
  </cols>
  <sheetData>
    <row r="1" spans="1:26" ht="12" customHeight="1" x14ac:dyDescent="0.2">
      <c r="A1" s="157" t="s">
        <v>52</v>
      </c>
      <c r="B1" s="158"/>
      <c r="C1" s="158"/>
      <c r="D1" s="158"/>
      <c r="E1" s="158"/>
      <c r="I1" s="158"/>
      <c r="J1" s="158"/>
      <c r="K1" s="158"/>
      <c r="L1" s="158"/>
      <c r="M1" s="158"/>
      <c r="N1" s="158"/>
      <c r="O1" s="158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</row>
    <row r="2" spans="1:26" ht="12" customHeight="1" x14ac:dyDescent="0.2">
      <c r="A2" s="161" t="s">
        <v>53</v>
      </c>
      <c r="B2" s="158"/>
      <c r="C2" s="158"/>
      <c r="D2" s="158"/>
      <c r="E2" s="158"/>
      <c r="I2" s="158"/>
      <c r="J2" s="158"/>
      <c r="K2" s="158"/>
      <c r="L2" s="158"/>
      <c r="M2" s="158"/>
      <c r="N2" s="158"/>
      <c r="O2" s="158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</row>
    <row r="3" spans="1:26" ht="12" customHeight="1" x14ac:dyDescent="0.2">
      <c r="A3" s="162" t="s">
        <v>54</v>
      </c>
      <c r="B3" s="163" t="s">
        <v>55</v>
      </c>
      <c r="C3" s="163" t="s">
        <v>56</v>
      </c>
    </row>
    <row r="4" spans="1:26" ht="33.6" customHeight="1" x14ac:dyDescent="0.2">
      <c r="A4" s="795" t="s">
        <v>57</v>
      </c>
      <c r="B4" s="164" t="s">
        <v>58</v>
      </c>
      <c r="C4" s="164" t="s">
        <v>59</v>
      </c>
    </row>
    <row r="5" spans="1:26" ht="30.6" customHeight="1" x14ac:dyDescent="0.2">
      <c r="A5" s="793"/>
      <c r="B5" s="164" t="s">
        <v>60</v>
      </c>
      <c r="C5" s="164" t="s">
        <v>61</v>
      </c>
    </row>
    <row r="6" spans="1:26" ht="27" customHeight="1" x14ac:dyDescent="0.2">
      <c r="A6" s="793"/>
      <c r="B6" s="164" t="s">
        <v>62</v>
      </c>
      <c r="C6" s="164" t="s">
        <v>63</v>
      </c>
    </row>
    <row r="7" spans="1:26" ht="21" customHeight="1" x14ac:dyDescent="0.2">
      <c r="A7" s="793"/>
      <c r="B7" s="164" t="s">
        <v>64</v>
      </c>
      <c r="C7" s="164" t="s">
        <v>65</v>
      </c>
    </row>
    <row r="8" spans="1:26" ht="21" customHeight="1" x14ac:dyDescent="0.2">
      <c r="A8" s="794"/>
      <c r="B8" s="164" t="s">
        <v>66</v>
      </c>
      <c r="C8" s="164" t="s">
        <v>67</v>
      </c>
    </row>
    <row r="9" spans="1:26" ht="23.1" customHeight="1" x14ac:dyDescent="0.2">
      <c r="A9" s="792" t="s">
        <v>68</v>
      </c>
      <c r="B9" s="792" t="s">
        <v>69</v>
      </c>
      <c r="C9" s="165" t="s">
        <v>70</v>
      </c>
    </row>
    <row r="10" spans="1:26" ht="25.35" customHeight="1" x14ac:dyDescent="0.2">
      <c r="A10" s="793"/>
      <c r="B10" s="793"/>
      <c r="C10" s="166" t="s">
        <v>71</v>
      </c>
    </row>
    <row r="11" spans="1:26" ht="26.1" customHeight="1" x14ac:dyDescent="0.2">
      <c r="A11" s="793"/>
      <c r="B11" s="793"/>
      <c r="C11" s="166" t="s">
        <v>72</v>
      </c>
    </row>
    <row r="12" spans="1:26" ht="26.1" customHeight="1" x14ac:dyDescent="0.2">
      <c r="A12" s="793"/>
      <c r="B12" s="793"/>
      <c r="C12" s="166" t="s">
        <v>73</v>
      </c>
    </row>
    <row r="13" spans="1:26" ht="23.45" customHeight="1" x14ac:dyDescent="0.2">
      <c r="A13" s="793"/>
      <c r="B13" s="793"/>
      <c r="C13" s="166" t="s">
        <v>74</v>
      </c>
    </row>
    <row r="14" spans="1:26" ht="12" customHeight="1" x14ac:dyDescent="0.2">
      <c r="A14" s="793"/>
      <c r="B14" s="794"/>
      <c r="C14" s="164" t="s">
        <v>75</v>
      </c>
    </row>
    <row r="15" spans="1:26" ht="23.1" customHeight="1" x14ac:dyDescent="0.2">
      <c r="A15" s="794"/>
      <c r="B15" s="164" t="s">
        <v>76</v>
      </c>
      <c r="C15" s="164" t="s">
        <v>77</v>
      </c>
    </row>
    <row r="16" spans="1:26" ht="56.1" customHeight="1" x14ac:dyDescent="0.2">
      <c r="A16" s="792" t="s">
        <v>78</v>
      </c>
      <c r="B16" s="164" t="s">
        <v>79</v>
      </c>
      <c r="C16" s="164" t="s">
        <v>80</v>
      </c>
    </row>
    <row r="17" spans="1:3" ht="22.35" customHeight="1" x14ac:dyDescent="0.2">
      <c r="A17" s="793"/>
      <c r="B17" s="792" t="s">
        <v>81</v>
      </c>
      <c r="C17" s="165" t="s">
        <v>82</v>
      </c>
    </row>
    <row r="18" spans="1:3" ht="21.6" customHeight="1" x14ac:dyDescent="0.2">
      <c r="A18" s="793"/>
      <c r="B18" s="793"/>
      <c r="C18" s="166" t="s">
        <v>83</v>
      </c>
    </row>
    <row r="19" spans="1:3" ht="23.1" customHeight="1" x14ac:dyDescent="0.2">
      <c r="A19" s="793"/>
      <c r="B19" s="793"/>
      <c r="C19" s="166" t="s">
        <v>84</v>
      </c>
    </row>
    <row r="20" spans="1:3" ht="18.600000000000001" customHeight="1" x14ac:dyDescent="0.2">
      <c r="A20" s="793"/>
      <c r="B20" s="793"/>
      <c r="C20" s="166" t="s">
        <v>85</v>
      </c>
    </row>
    <row r="21" spans="1:3" ht="12" customHeight="1" x14ac:dyDescent="0.2">
      <c r="A21" s="793"/>
      <c r="B21" s="793"/>
      <c r="C21" s="166" t="s">
        <v>86</v>
      </c>
    </row>
    <row r="22" spans="1:3" ht="12" customHeight="1" x14ac:dyDescent="0.2">
      <c r="A22" s="793"/>
      <c r="B22" s="793"/>
      <c r="C22" s="166" t="s">
        <v>87</v>
      </c>
    </row>
    <row r="23" spans="1:3" ht="12" customHeight="1" x14ac:dyDescent="0.2">
      <c r="A23" s="793"/>
      <c r="B23" s="794"/>
      <c r="C23" s="164" t="s">
        <v>88</v>
      </c>
    </row>
    <row r="24" spans="1:3" ht="12" customHeight="1" x14ac:dyDescent="0.2">
      <c r="A24" s="793"/>
      <c r="B24" s="792" t="s">
        <v>89</v>
      </c>
      <c r="C24" s="165" t="s">
        <v>90</v>
      </c>
    </row>
    <row r="25" spans="1:3" ht="12" customHeight="1" x14ac:dyDescent="0.2">
      <c r="A25" s="793"/>
      <c r="B25" s="793"/>
      <c r="C25" s="165" t="s">
        <v>91</v>
      </c>
    </row>
    <row r="26" spans="1:3" ht="12" customHeight="1" x14ac:dyDescent="0.2">
      <c r="A26" s="793"/>
      <c r="B26" s="793"/>
      <c r="C26" s="166" t="s">
        <v>92</v>
      </c>
    </row>
    <row r="27" spans="1:3" ht="12" customHeight="1" x14ac:dyDescent="0.2">
      <c r="A27" s="793"/>
      <c r="B27" s="793"/>
      <c r="C27" s="166" t="s">
        <v>93</v>
      </c>
    </row>
    <row r="28" spans="1:3" ht="12" customHeight="1" x14ac:dyDescent="0.2">
      <c r="A28" s="793"/>
      <c r="B28" s="793"/>
      <c r="C28" s="166" t="s">
        <v>94</v>
      </c>
    </row>
    <row r="29" spans="1:3" ht="12" customHeight="1" x14ac:dyDescent="0.2">
      <c r="A29" s="793"/>
      <c r="B29" s="794"/>
      <c r="C29" s="164" t="s">
        <v>95</v>
      </c>
    </row>
    <row r="30" spans="1:3" ht="12" customHeight="1" x14ac:dyDescent="0.2">
      <c r="A30" s="793"/>
      <c r="B30" s="792" t="s">
        <v>96</v>
      </c>
      <c r="C30" s="166" t="s">
        <v>97</v>
      </c>
    </row>
    <row r="31" spans="1:3" ht="12" customHeight="1" x14ac:dyDescent="0.2">
      <c r="A31" s="793"/>
      <c r="B31" s="793"/>
      <c r="C31" s="166" t="s">
        <v>98</v>
      </c>
    </row>
    <row r="32" spans="1:3" ht="12" customHeight="1" x14ac:dyDescent="0.2">
      <c r="A32" s="793"/>
      <c r="B32" s="793"/>
      <c r="C32" s="166" t="s">
        <v>99</v>
      </c>
    </row>
    <row r="33" spans="1:3" ht="23.1" customHeight="1" x14ac:dyDescent="0.2">
      <c r="A33" s="793"/>
      <c r="B33" s="794"/>
      <c r="C33" s="164" t="s">
        <v>100</v>
      </c>
    </row>
    <row r="34" spans="1:3" ht="28.35" customHeight="1" x14ac:dyDescent="0.2">
      <c r="A34" s="793"/>
      <c r="B34" s="164" t="s">
        <v>101</v>
      </c>
      <c r="C34" s="164" t="s">
        <v>102</v>
      </c>
    </row>
    <row r="35" spans="1:3" ht="35.1" customHeight="1" x14ac:dyDescent="0.2">
      <c r="A35" s="794"/>
      <c r="B35" s="164" t="s">
        <v>103</v>
      </c>
      <c r="C35" s="164" t="s">
        <v>104</v>
      </c>
    </row>
    <row r="36" spans="1:3" ht="12" customHeight="1" x14ac:dyDescent="0.2">
      <c r="C36" s="167"/>
    </row>
    <row r="37" spans="1:3" ht="12" customHeight="1" x14ac:dyDescent="0.2">
      <c r="A37" s="162" t="s">
        <v>54</v>
      </c>
      <c r="B37" s="163" t="s">
        <v>55</v>
      </c>
      <c r="C37" s="163" t="s">
        <v>56</v>
      </c>
    </row>
    <row r="38" spans="1:3" ht="23.45" customHeight="1" x14ac:dyDescent="0.2">
      <c r="A38" s="792" t="s">
        <v>105</v>
      </c>
      <c r="B38" s="164" t="s">
        <v>106</v>
      </c>
      <c r="C38" s="164" t="s">
        <v>107</v>
      </c>
    </row>
    <row r="39" spans="1:3" ht="12" customHeight="1" x14ac:dyDescent="0.2">
      <c r="A39" s="793"/>
      <c r="B39" s="792" t="s">
        <v>108</v>
      </c>
      <c r="C39" s="165" t="s">
        <v>109</v>
      </c>
    </row>
    <row r="40" spans="1:3" ht="12" customHeight="1" x14ac:dyDescent="0.2">
      <c r="A40" s="793"/>
      <c r="B40" s="793"/>
      <c r="C40" s="166" t="s">
        <v>110</v>
      </c>
    </row>
    <row r="41" spans="1:3" ht="12" customHeight="1" x14ac:dyDescent="0.2">
      <c r="A41" s="793"/>
      <c r="B41" s="793"/>
      <c r="C41" s="166" t="s">
        <v>111</v>
      </c>
    </row>
    <row r="42" spans="1:3" ht="12" customHeight="1" x14ac:dyDescent="0.2">
      <c r="A42" s="793"/>
      <c r="B42" s="793"/>
      <c r="C42" s="166" t="s">
        <v>112</v>
      </c>
    </row>
    <row r="43" spans="1:3" ht="12" customHeight="1" x14ac:dyDescent="0.2">
      <c r="A43" s="793"/>
      <c r="B43" s="793"/>
      <c r="C43" s="166" t="s">
        <v>113</v>
      </c>
    </row>
    <row r="44" spans="1:3" ht="12" customHeight="1" x14ac:dyDescent="0.2">
      <c r="A44" s="793"/>
      <c r="B44" s="794"/>
      <c r="C44" s="164" t="s">
        <v>114</v>
      </c>
    </row>
    <row r="45" spans="1:3" ht="12" customHeight="1" x14ac:dyDescent="0.2">
      <c r="A45" s="793"/>
      <c r="B45" s="792" t="s">
        <v>115</v>
      </c>
      <c r="C45" s="165" t="s">
        <v>116</v>
      </c>
    </row>
    <row r="46" spans="1:3" ht="12" customHeight="1" x14ac:dyDescent="0.2">
      <c r="A46" s="793"/>
      <c r="B46" s="793"/>
      <c r="C46" s="166" t="s">
        <v>117</v>
      </c>
    </row>
    <row r="47" spans="1:3" ht="12" customHeight="1" x14ac:dyDescent="0.2">
      <c r="A47" s="793"/>
      <c r="B47" s="793"/>
      <c r="C47" s="166" t="s">
        <v>118</v>
      </c>
    </row>
    <row r="48" spans="1:3" ht="12" customHeight="1" x14ac:dyDescent="0.2">
      <c r="A48" s="793"/>
      <c r="B48" s="794"/>
      <c r="C48" s="164" t="s">
        <v>119</v>
      </c>
    </row>
    <row r="49" spans="1:3" ht="23.1" customHeight="1" x14ac:dyDescent="0.2">
      <c r="A49" s="793"/>
      <c r="B49" s="164" t="s">
        <v>120</v>
      </c>
      <c r="C49" s="164" t="s">
        <v>121</v>
      </c>
    </row>
    <row r="50" spans="1:3" ht="12" customHeight="1" x14ac:dyDescent="0.2">
      <c r="A50" s="794"/>
      <c r="B50" s="164" t="s">
        <v>122</v>
      </c>
      <c r="C50" s="164" t="s">
        <v>123</v>
      </c>
    </row>
    <row r="51" spans="1:3" ht="12" customHeight="1" x14ac:dyDescent="0.2">
      <c r="A51" s="792" t="s">
        <v>124</v>
      </c>
      <c r="B51" s="164" t="s">
        <v>125</v>
      </c>
      <c r="C51" s="164" t="s">
        <v>126</v>
      </c>
    </row>
    <row r="52" spans="1:3" ht="12" customHeight="1" x14ac:dyDescent="0.2">
      <c r="A52" s="793"/>
      <c r="B52" s="792" t="s">
        <v>127</v>
      </c>
      <c r="C52" s="165" t="s">
        <v>128</v>
      </c>
    </row>
    <row r="53" spans="1:3" ht="12" customHeight="1" x14ac:dyDescent="0.2">
      <c r="A53" s="793"/>
      <c r="B53" s="793"/>
      <c r="C53" s="166" t="s">
        <v>129</v>
      </c>
    </row>
    <row r="54" spans="1:3" ht="12" customHeight="1" x14ac:dyDescent="0.2">
      <c r="A54" s="793"/>
      <c r="B54" s="793"/>
      <c r="C54" s="166" t="s">
        <v>130</v>
      </c>
    </row>
    <row r="55" spans="1:3" ht="12" customHeight="1" x14ac:dyDescent="0.2">
      <c r="A55" s="793"/>
      <c r="B55" s="793"/>
      <c r="C55" s="166" t="s">
        <v>131</v>
      </c>
    </row>
    <row r="56" spans="1:3" ht="12" customHeight="1" x14ac:dyDescent="0.2">
      <c r="A56" s="793"/>
      <c r="B56" s="793"/>
      <c r="C56" s="166" t="s">
        <v>132</v>
      </c>
    </row>
    <row r="57" spans="1:3" ht="12" customHeight="1" x14ac:dyDescent="0.2">
      <c r="A57" s="793"/>
      <c r="B57" s="793"/>
      <c r="C57" s="166" t="s">
        <v>133</v>
      </c>
    </row>
    <row r="58" spans="1:3" ht="12" customHeight="1" x14ac:dyDescent="0.2">
      <c r="A58" s="793"/>
      <c r="B58" s="793"/>
      <c r="C58" s="166" t="s">
        <v>134</v>
      </c>
    </row>
    <row r="59" spans="1:3" ht="12" customHeight="1" x14ac:dyDescent="0.2">
      <c r="A59" s="793"/>
      <c r="B59" s="793"/>
      <c r="C59" s="166" t="s">
        <v>135</v>
      </c>
    </row>
    <row r="60" spans="1:3" ht="12" customHeight="1" x14ac:dyDescent="0.2">
      <c r="A60" s="793"/>
      <c r="B60" s="794"/>
      <c r="C60" s="164" t="s">
        <v>136</v>
      </c>
    </row>
    <row r="61" spans="1:3" ht="12" customHeight="1" x14ac:dyDescent="0.2">
      <c r="A61" s="793"/>
      <c r="B61" s="168" t="s">
        <v>137</v>
      </c>
      <c r="C61" s="168" t="s">
        <v>138</v>
      </c>
    </row>
    <row r="62" spans="1:3" ht="12" customHeight="1" x14ac:dyDescent="0.2">
      <c r="A62" s="793"/>
      <c r="B62" s="164" t="s">
        <v>139</v>
      </c>
      <c r="C62" s="164" t="s">
        <v>140</v>
      </c>
    </row>
    <row r="63" spans="1:3" ht="12" customHeight="1" x14ac:dyDescent="0.2">
      <c r="A63" s="794"/>
      <c r="B63" s="164" t="s">
        <v>141</v>
      </c>
      <c r="C63" s="164" t="s">
        <v>142</v>
      </c>
    </row>
    <row r="64" spans="1:3" ht="12" customHeight="1" x14ac:dyDescent="0.2">
      <c r="C64" s="167"/>
    </row>
    <row r="65" spans="1:3" ht="12" customHeight="1" x14ac:dyDescent="0.2">
      <c r="A65" s="162" t="s">
        <v>54</v>
      </c>
      <c r="B65" s="163" t="s">
        <v>55</v>
      </c>
      <c r="C65" s="163" t="s">
        <v>56</v>
      </c>
    </row>
    <row r="66" spans="1:3" ht="12" customHeight="1" x14ac:dyDescent="0.2">
      <c r="A66" s="792" t="s">
        <v>143</v>
      </c>
      <c r="B66" s="164" t="s">
        <v>144</v>
      </c>
      <c r="C66" s="164" t="s">
        <v>145</v>
      </c>
    </row>
    <row r="67" spans="1:3" ht="12" customHeight="1" x14ac:dyDescent="0.2">
      <c r="A67" s="793"/>
      <c r="B67" s="792" t="s">
        <v>146</v>
      </c>
      <c r="C67" s="165" t="s">
        <v>147</v>
      </c>
    </row>
    <row r="68" spans="1:3" ht="12" customHeight="1" x14ac:dyDescent="0.2">
      <c r="A68" s="793"/>
      <c r="B68" s="793"/>
      <c r="C68" s="166" t="s">
        <v>148</v>
      </c>
    </row>
    <row r="69" spans="1:3" ht="12" customHeight="1" x14ac:dyDescent="0.2">
      <c r="A69" s="793"/>
      <c r="B69" s="793"/>
      <c r="C69" s="166" t="s">
        <v>149</v>
      </c>
    </row>
    <row r="70" spans="1:3" ht="12" customHeight="1" x14ac:dyDescent="0.2">
      <c r="A70" s="793"/>
      <c r="B70" s="794"/>
      <c r="C70" s="164" t="s">
        <v>150</v>
      </c>
    </row>
    <row r="71" spans="1:3" ht="12" customHeight="1" x14ac:dyDescent="0.2">
      <c r="A71" s="793"/>
      <c r="B71" s="792" t="s">
        <v>151</v>
      </c>
      <c r="C71" s="165" t="s">
        <v>152</v>
      </c>
    </row>
    <row r="72" spans="1:3" ht="12" customHeight="1" x14ac:dyDescent="0.2">
      <c r="A72" s="793"/>
      <c r="B72" s="793"/>
      <c r="C72" s="166" t="s">
        <v>153</v>
      </c>
    </row>
    <row r="73" spans="1:3" ht="12" customHeight="1" x14ac:dyDescent="0.2">
      <c r="A73" s="793"/>
      <c r="B73" s="793"/>
      <c r="C73" s="166" t="s">
        <v>154</v>
      </c>
    </row>
    <row r="74" spans="1:3" ht="12" customHeight="1" x14ac:dyDescent="0.2">
      <c r="A74" s="793"/>
      <c r="B74" s="794"/>
      <c r="C74" s="164" t="s">
        <v>155</v>
      </c>
    </row>
    <row r="75" spans="1:3" ht="12" customHeight="1" x14ac:dyDescent="0.2">
      <c r="A75" s="793"/>
      <c r="B75" s="792" t="s">
        <v>156</v>
      </c>
      <c r="C75" s="165" t="s">
        <v>157</v>
      </c>
    </row>
    <row r="76" spans="1:3" ht="12" customHeight="1" x14ac:dyDescent="0.2">
      <c r="A76" s="793"/>
      <c r="B76" s="793"/>
      <c r="C76" s="166" t="s">
        <v>158</v>
      </c>
    </row>
    <row r="77" spans="1:3" ht="12" customHeight="1" x14ac:dyDescent="0.2">
      <c r="A77" s="793"/>
      <c r="B77" s="793"/>
      <c r="C77" s="166" t="s">
        <v>159</v>
      </c>
    </row>
    <row r="78" spans="1:3" ht="12" customHeight="1" x14ac:dyDescent="0.2">
      <c r="A78" s="793"/>
      <c r="B78" s="793"/>
      <c r="C78" s="166" t="s">
        <v>160</v>
      </c>
    </row>
    <row r="79" spans="1:3" ht="12" customHeight="1" x14ac:dyDescent="0.2">
      <c r="A79" s="793"/>
      <c r="B79" s="794"/>
      <c r="C79" s="164" t="s">
        <v>161</v>
      </c>
    </row>
    <row r="80" spans="1:3" ht="12" customHeight="1" x14ac:dyDescent="0.2">
      <c r="A80" s="793"/>
      <c r="B80" s="792" t="s">
        <v>162</v>
      </c>
      <c r="C80" s="165" t="s">
        <v>163</v>
      </c>
    </row>
    <row r="81" spans="1:3" ht="12" customHeight="1" x14ac:dyDescent="0.2">
      <c r="A81" s="793"/>
      <c r="B81" s="793"/>
      <c r="C81" s="166" t="s">
        <v>164</v>
      </c>
    </row>
    <row r="82" spans="1:3" ht="12" customHeight="1" x14ac:dyDescent="0.2">
      <c r="A82" s="793"/>
      <c r="B82" s="794"/>
      <c r="C82" s="168" t="s">
        <v>165</v>
      </c>
    </row>
    <row r="83" spans="1:3" ht="12" customHeight="1" x14ac:dyDescent="0.2">
      <c r="A83" s="793"/>
      <c r="B83" s="164" t="s">
        <v>166</v>
      </c>
      <c r="C83" s="164" t="s">
        <v>167</v>
      </c>
    </row>
    <row r="84" spans="1:3" ht="12" customHeight="1" x14ac:dyDescent="0.2">
      <c r="A84" s="794"/>
      <c r="B84" s="164" t="s">
        <v>168</v>
      </c>
      <c r="C84" s="164" t="s">
        <v>169</v>
      </c>
    </row>
    <row r="85" spans="1:3" ht="12" customHeight="1" x14ac:dyDescent="0.2">
      <c r="A85" s="169" t="s">
        <v>170</v>
      </c>
      <c r="B85" s="166" t="s">
        <v>171</v>
      </c>
      <c r="C85" s="165" t="s">
        <v>172</v>
      </c>
    </row>
    <row r="86" spans="1:3" ht="12" customHeight="1" x14ac:dyDescent="0.2">
      <c r="A86" s="170"/>
      <c r="B86" s="165"/>
      <c r="C86" s="165" t="s">
        <v>173</v>
      </c>
    </row>
    <row r="87" spans="1:3" ht="12" customHeight="1" x14ac:dyDescent="0.2">
      <c r="A87" s="170" t="s">
        <v>45</v>
      </c>
      <c r="B87" s="165" t="s">
        <v>45</v>
      </c>
      <c r="C87" s="166" t="s">
        <v>174</v>
      </c>
    </row>
    <row r="88" spans="1:3" ht="12" customHeight="1" x14ac:dyDescent="0.2">
      <c r="A88" s="171"/>
      <c r="B88" s="172"/>
      <c r="C88" s="166" t="s">
        <v>175</v>
      </c>
    </row>
    <row r="89" spans="1:3" ht="12" customHeight="1" x14ac:dyDescent="0.2">
      <c r="A89" s="171"/>
      <c r="B89" s="172"/>
      <c r="C89" s="166" t="s">
        <v>45</v>
      </c>
    </row>
    <row r="90" spans="1:3" ht="12" customHeight="1" x14ac:dyDescent="0.2">
      <c r="A90" s="171"/>
      <c r="B90" s="173"/>
      <c r="C90" s="164" t="s">
        <v>176</v>
      </c>
    </row>
    <row r="91" spans="1:3" ht="12" customHeight="1" x14ac:dyDescent="0.2">
      <c r="A91" s="174"/>
      <c r="B91" s="164" t="s">
        <v>177</v>
      </c>
      <c r="C91" s="164" t="s">
        <v>178</v>
      </c>
    </row>
    <row r="92" spans="1:3" ht="12" customHeight="1" x14ac:dyDescent="0.2">
      <c r="C92" s="167"/>
    </row>
    <row r="93" spans="1:3" ht="12" customHeight="1" x14ac:dyDescent="0.2">
      <c r="A93" s="162" t="s">
        <v>54</v>
      </c>
      <c r="B93" s="163" t="s">
        <v>55</v>
      </c>
      <c r="C93" s="163" t="s">
        <v>56</v>
      </c>
    </row>
    <row r="94" spans="1:3" ht="12" customHeight="1" x14ac:dyDescent="0.2">
      <c r="A94" s="792" t="s">
        <v>179</v>
      </c>
      <c r="B94" s="164" t="s">
        <v>180</v>
      </c>
      <c r="C94" s="164" t="s">
        <v>181</v>
      </c>
    </row>
    <row r="95" spans="1:3" ht="12" customHeight="1" x14ac:dyDescent="0.2">
      <c r="A95" s="793"/>
      <c r="B95" s="792" t="s">
        <v>182</v>
      </c>
      <c r="C95" s="165" t="s">
        <v>183</v>
      </c>
    </row>
    <row r="96" spans="1:3" ht="12" customHeight="1" x14ac:dyDescent="0.2">
      <c r="A96" s="793"/>
      <c r="B96" s="793"/>
      <c r="C96" s="166" t="s">
        <v>184</v>
      </c>
    </row>
    <row r="97" spans="1:3" ht="12" customHeight="1" x14ac:dyDescent="0.2">
      <c r="A97" s="793"/>
      <c r="B97" s="793"/>
      <c r="C97" s="166" t="s">
        <v>185</v>
      </c>
    </row>
    <row r="98" spans="1:3" ht="12" customHeight="1" x14ac:dyDescent="0.2">
      <c r="A98" s="793"/>
      <c r="B98" s="793"/>
      <c r="C98" s="166" t="s">
        <v>186</v>
      </c>
    </row>
    <row r="99" spans="1:3" ht="12" customHeight="1" x14ac:dyDescent="0.2">
      <c r="A99" s="793"/>
      <c r="B99" s="793"/>
      <c r="C99" s="166" t="s">
        <v>187</v>
      </c>
    </row>
    <row r="100" spans="1:3" ht="12" customHeight="1" x14ac:dyDescent="0.2">
      <c r="A100" s="793"/>
      <c r="B100" s="793"/>
      <c r="C100" s="166" t="s">
        <v>188</v>
      </c>
    </row>
    <row r="101" spans="1:3" ht="12" customHeight="1" x14ac:dyDescent="0.2">
      <c r="A101" s="793"/>
      <c r="B101" s="793"/>
      <c r="C101" s="166" t="s">
        <v>189</v>
      </c>
    </row>
    <row r="102" spans="1:3" ht="12" customHeight="1" x14ac:dyDescent="0.2">
      <c r="A102" s="793"/>
      <c r="B102" s="794"/>
      <c r="C102" s="164" t="s">
        <v>190</v>
      </c>
    </row>
    <row r="103" spans="1:3" ht="12" customHeight="1" x14ac:dyDescent="0.2">
      <c r="A103" s="793"/>
      <c r="B103" s="792" t="s">
        <v>191</v>
      </c>
      <c r="C103" s="165" t="s">
        <v>192</v>
      </c>
    </row>
    <row r="104" spans="1:3" ht="12" customHeight="1" x14ac:dyDescent="0.2">
      <c r="A104" s="793"/>
      <c r="B104" s="793"/>
      <c r="C104" s="166" t="s">
        <v>193</v>
      </c>
    </row>
    <row r="105" spans="1:3" ht="12" customHeight="1" x14ac:dyDescent="0.2">
      <c r="A105" s="793"/>
      <c r="B105" s="793"/>
      <c r="C105" s="166" t="s">
        <v>194</v>
      </c>
    </row>
    <row r="106" spans="1:3" ht="12" customHeight="1" x14ac:dyDescent="0.2">
      <c r="A106" s="793"/>
      <c r="B106" s="793"/>
      <c r="C106" s="166" t="s">
        <v>195</v>
      </c>
    </row>
    <row r="107" spans="1:3" ht="12" customHeight="1" x14ac:dyDescent="0.2">
      <c r="A107" s="793"/>
      <c r="B107" s="793"/>
      <c r="C107" s="166" t="s">
        <v>196</v>
      </c>
    </row>
    <row r="108" spans="1:3" ht="12" customHeight="1" x14ac:dyDescent="0.2">
      <c r="A108" s="793"/>
      <c r="B108" s="794"/>
      <c r="C108" s="164" t="s">
        <v>197</v>
      </c>
    </row>
    <row r="109" spans="1:3" ht="12" customHeight="1" x14ac:dyDescent="0.2">
      <c r="A109" s="793"/>
      <c r="B109" s="792" t="s">
        <v>198</v>
      </c>
      <c r="C109" s="165" t="s">
        <v>199</v>
      </c>
    </row>
    <row r="110" spans="1:3" ht="12" customHeight="1" x14ac:dyDescent="0.2">
      <c r="A110" s="793"/>
      <c r="B110" s="793"/>
      <c r="C110" s="166" t="s">
        <v>200</v>
      </c>
    </row>
    <row r="111" spans="1:3" ht="12" customHeight="1" x14ac:dyDescent="0.2">
      <c r="A111" s="793"/>
      <c r="B111" s="794"/>
      <c r="C111" s="168" t="s">
        <v>201</v>
      </c>
    </row>
    <row r="112" spans="1:3" ht="12" customHeight="1" x14ac:dyDescent="0.2">
      <c r="A112" s="793"/>
      <c r="B112" s="164" t="s">
        <v>202</v>
      </c>
      <c r="C112" s="164" t="s">
        <v>203</v>
      </c>
    </row>
    <row r="113" spans="1:3" ht="12" customHeight="1" x14ac:dyDescent="0.2">
      <c r="A113" s="794"/>
      <c r="B113" s="164" t="s">
        <v>204</v>
      </c>
      <c r="C113" s="164" t="s">
        <v>205</v>
      </c>
    </row>
    <row r="114" spans="1:3" ht="12" customHeight="1" x14ac:dyDescent="0.2">
      <c r="A114" s="795" t="s">
        <v>206</v>
      </c>
      <c r="B114" s="164" t="s">
        <v>207</v>
      </c>
      <c r="C114" s="164" t="s">
        <v>208</v>
      </c>
    </row>
    <row r="115" spans="1:3" ht="12" customHeight="1" x14ac:dyDescent="0.2">
      <c r="A115" s="793"/>
      <c r="B115" s="792" t="s">
        <v>209</v>
      </c>
      <c r="C115" s="165" t="s">
        <v>210</v>
      </c>
    </row>
    <row r="116" spans="1:3" ht="12" customHeight="1" x14ac:dyDescent="0.2">
      <c r="A116" s="793"/>
      <c r="B116" s="793"/>
      <c r="C116" s="166" t="s">
        <v>211</v>
      </c>
    </row>
    <row r="117" spans="1:3" ht="12" customHeight="1" x14ac:dyDescent="0.2">
      <c r="A117" s="793"/>
      <c r="B117" s="793"/>
      <c r="C117" s="166" t="s">
        <v>212</v>
      </c>
    </row>
    <row r="118" spans="1:3" ht="12" customHeight="1" x14ac:dyDescent="0.2">
      <c r="A118" s="793"/>
      <c r="B118" s="794"/>
      <c r="C118" s="164" t="s">
        <v>213</v>
      </c>
    </row>
    <row r="119" spans="1:3" ht="12" customHeight="1" x14ac:dyDescent="0.2">
      <c r="A119" s="793"/>
      <c r="B119" s="168" t="s">
        <v>214</v>
      </c>
      <c r="C119" s="168" t="s">
        <v>215</v>
      </c>
    </row>
    <row r="120" spans="1:3" ht="12" customHeight="1" x14ac:dyDescent="0.2">
      <c r="A120" s="793"/>
      <c r="B120" s="168" t="s">
        <v>216</v>
      </c>
      <c r="C120" s="168" t="s">
        <v>217</v>
      </c>
    </row>
    <row r="121" spans="1:3" ht="12" customHeight="1" x14ac:dyDescent="0.2">
      <c r="A121" s="793"/>
      <c r="B121" s="168" t="s">
        <v>218</v>
      </c>
      <c r="C121" s="168" t="s">
        <v>219</v>
      </c>
    </row>
    <row r="122" spans="1:3" ht="12" customHeight="1" x14ac:dyDescent="0.2">
      <c r="A122" s="793"/>
      <c r="B122" s="164" t="s">
        <v>220</v>
      </c>
      <c r="C122" s="164" t="s">
        <v>221</v>
      </c>
    </row>
    <row r="123" spans="1:3" ht="12" customHeight="1" x14ac:dyDescent="0.2">
      <c r="A123" s="794"/>
      <c r="B123" s="164" t="s">
        <v>222</v>
      </c>
      <c r="C123" s="164" t="s">
        <v>223</v>
      </c>
    </row>
    <row r="124" spans="1:3" ht="12" customHeight="1" x14ac:dyDescent="0.2">
      <c r="C124" s="167"/>
    </row>
    <row r="125" spans="1:3" ht="12" customHeight="1" x14ac:dyDescent="0.2">
      <c r="A125" s="162" t="s">
        <v>54</v>
      </c>
      <c r="B125" s="163" t="s">
        <v>55</v>
      </c>
      <c r="C125" s="163" t="s">
        <v>56</v>
      </c>
    </row>
    <row r="126" spans="1:3" ht="12" customHeight="1" x14ac:dyDescent="0.2">
      <c r="A126" s="792" t="s">
        <v>224</v>
      </c>
      <c r="B126" s="164" t="s">
        <v>225</v>
      </c>
      <c r="C126" s="164" t="s">
        <v>226</v>
      </c>
    </row>
    <row r="127" spans="1:3" ht="12" customHeight="1" x14ac:dyDescent="0.2">
      <c r="A127" s="793"/>
      <c r="B127" s="792" t="s">
        <v>227</v>
      </c>
      <c r="C127" s="165" t="s">
        <v>228</v>
      </c>
    </row>
    <row r="128" spans="1:3" ht="12" customHeight="1" x14ac:dyDescent="0.2">
      <c r="A128" s="793"/>
      <c r="B128" s="793"/>
      <c r="C128" s="166" t="s">
        <v>229</v>
      </c>
    </row>
    <row r="129" spans="1:3" ht="12" customHeight="1" x14ac:dyDescent="0.2">
      <c r="A129" s="793"/>
      <c r="B129" s="793"/>
      <c r="C129" s="166" t="s">
        <v>230</v>
      </c>
    </row>
    <row r="130" spans="1:3" ht="12" customHeight="1" x14ac:dyDescent="0.2">
      <c r="A130" s="793"/>
      <c r="B130" s="793"/>
      <c r="C130" s="166" t="s">
        <v>231</v>
      </c>
    </row>
    <row r="131" spans="1:3" ht="12" customHeight="1" x14ac:dyDescent="0.2">
      <c r="A131" s="793"/>
      <c r="B131" s="793"/>
      <c r="C131" s="166" t="s">
        <v>232</v>
      </c>
    </row>
    <row r="132" spans="1:3" ht="12" customHeight="1" x14ac:dyDescent="0.2">
      <c r="A132" s="793"/>
      <c r="B132" s="793"/>
      <c r="C132" s="166" t="s">
        <v>233</v>
      </c>
    </row>
    <row r="133" spans="1:3" ht="12" customHeight="1" x14ac:dyDescent="0.2">
      <c r="A133" s="793"/>
      <c r="B133" s="793"/>
      <c r="C133" s="166" t="s">
        <v>234</v>
      </c>
    </row>
    <row r="134" spans="1:3" ht="12" customHeight="1" x14ac:dyDescent="0.2">
      <c r="A134" s="793"/>
      <c r="B134" s="793"/>
      <c r="C134" s="166" t="s">
        <v>235</v>
      </c>
    </row>
    <row r="135" spans="1:3" ht="12" customHeight="1" x14ac:dyDescent="0.2">
      <c r="A135" s="793"/>
      <c r="B135" s="794"/>
      <c r="C135" s="164" t="s">
        <v>236</v>
      </c>
    </row>
    <row r="136" spans="1:3" ht="12" customHeight="1" x14ac:dyDescent="0.2">
      <c r="A136" s="793"/>
      <c r="B136" s="792" t="s">
        <v>237</v>
      </c>
      <c r="C136" s="165" t="s">
        <v>238</v>
      </c>
    </row>
    <row r="137" spans="1:3" ht="12" customHeight="1" x14ac:dyDescent="0.2">
      <c r="A137" s="793"/>
      <c r="B137" s="793"/>
      <c r="C137" s="166" t="s">
        <v>239</v>
      </c>
    </row>
    <row r="138" spans="1:3" ht="12" customHeight="1" x14ac:dyDescent="0.2">
      <c r="A138" s="793"/>
      <c r="B138" s="793"/>
      <c r="C138" s="166" t="s">
        <v>240</v>
      </c>
    </row>
    <row r="139" spans="1:3" ht="12" customHeight="1" x14ac:dyDescent="0.2">
      <c r="A139" s="793"/>
      <c r="B139" s="793"/>
      <c r="C139" s="166" t="s">
        <v>241</v>
      </c>
    </row>
    <row r="140" spans="1:3" ht="12" customHeight="1" x14ac:dyDescent="0.2">
      <c r="A140" s="793"/>
      <c r="B140" s="794"/>
      <c r="C140" s="164" t="s">
        <v>242</v>
      </c>
    </row>
    <row r="141" spans="1:3" ht="12" customHeight="1" x14ac:dyDescent="0.2">
      <c r="A141" s="793"/>
      <c r="B141" s="164" t="s">
        <v>243</v>
      </c>
      <c r="C141" s="164" t="s">
        <v>244</v>
      </c>
    </row>
    <row r="142" spans="1:3" ht="12" customHeight="1" x14ac:dyDescent="0.2">
      <c r="A142" s="794"/>
      <c r="B142" s="164" t="s">
        <v>245</v>
      </c>
      <c r="C142" s="164" t="s">
        <v>246</v>
      </c>
    </row>
    <row r="143" spans="1:3" ht="12" customHeight="1" x14ac:dyDescent="0.2">
      <c r="A143" s="792" t="s">
        <v>247</v>
      </c>
      <c r="B143" s="164" t="s">
        <v>248</v>
      </c>
      <c r="C143" s="164" t="s">
        <v>249</v>
      </c>
    </row>
    <row r="144" spans="1:3" ht="12" customHeight="1" x14ac:dyDescent="0.2">
      <c r="A144" s="793"/>
      <c r="B144" s="792" t="s">
        <v>250</v>
      </c>
      <c r="C144" s="165" t="s">
        <v>251</v>
      </c>
    </row>
    <row r="145" spans="1:3" ht="12" customHeight="1" x14ac:dyDescent="0.2">
      <c r="A145" s="793"/>
      <c r="B145" s="793"/>
      <c r="C145" s="166" t="s">
        <v>252</v>
      </c>
    </row>
    <row r="146" spans="1:3" ht="12" customHeight="1" x14ac:dyDescent="0.2">
      <c r="A146" s="793"/>
      <c r="B146" s="793"/>
      <c r="C146" s="166" t="s">
        <v>253</v>
      </c>
    </row>
    <row r="147" spans="1:3" ht="12" customHeight="1" x14ac:dyDescent="0.2">
      <c r="A147" s="793"/>
      <c r="B147" s="793"/>
      <c r="C147" s="166" t="s">
        <v>254</v>
      </c>
    </row>
    <row r="148" spans="1:3" ht="12" customHeight="1" x14ac:dyDescent="0.2">
      <c r="A148" s="793"/>
      <c r="B148" s="793"/>
      <c r="C148" s="166" t="s">
        <v>255</v>
      </c>
    </row>
    <row r="149" spans="1:3" ht="12" customHeight="1" x14ac:dyDescent="0.2">
      <c r="A149" s="793"/>
      <c r="B149" s="793"/>
      <c r="C149" s="166" t="s">
        <v>256</v>
      </c>
    </row>
    <row r="150" spans="1:3" ht="12" customHeight="1" x14ac:dyDescent="0.2">
      <c r="A150" s="793"/>
      <c r="B150" s="794"/>
      <c r="C150" s="164" t="s">
        <v>257</v>
      </c>
    </row>
    <row r="151" spans="1:3" ht="12" customHeight="1" x14ac:dyDescent="0.2">
      <c r="A151" s="793"/>
      <c r="B151" s="792" t="s">
        <v>258</v>
      </c>
      <c r="C151" s="165" t="s">
        <v>259</v>
      </c>
    </row>
    <row r="152" spans="1:3" ht="12" customHeight="1" x14ac:dyDescent="0.2">
      <c r="A152" s="793"/>
      <c r="B152" s="793"/>
      <c r="C152" s="166" t="s">
        <v>260</v>
      </c>
    </row>
    <row r="153" spans="1:3" ht="12" customHeight="1" x14ac:dyDescent="0.2">
      <c r="A153" s="793"/>
      <c r="B153" s="793"/>
      <c r="C153" s="166" t="s">
        <v>261</v>
      </c>
    </row>
    <row r="154" spans="1:3" ht="12" customHeight="1" x14ac:dyDescent="0.2">
      <c r="A154" s="793"/>
      <c r="B154" s="794"/>
      <c r="C154" s="164" t="s">
        <v>262</v>
      </c>
    </row>
    <row r="155" spans="1:3" ht="12" customHeight="1" x14ac:dyDescent="0.2">
      <c r="A155" s="793"/>
      <c r="B155" s="792" t="s">
        <v>263</v>
      </c>
      <c r="C155" s="165" t="s">
        <v>264</v>
      </c>
    </row>
    <row r="156" spans="1:3" ht="12" customHeight="1" x14ac:dyDescent="0.2">
      <c r="A156" s="793"/>
      <c r="B156" s="793"/>
      <c r="C156" s="166" t="s">
        <v>265</v>
      </c>
    </row>
    <row r="157" spans="1:3" ht="12" customHeight="1" x14ac:dyDescent="0.2">
      <c r="A157" s="793"/>
      <c r="B157" s="793"/>
      <c r="C157" s="166" t="s">
        <v>266</v>
      </c>
    </row>
    <row r="158" spans="1:3" ht="12" customHeight="1" x14ac:dyDescent="0.2">
      <c r="A158" s="793"/>
      <c r="B158" s="794"/>
      <c r="C158" s="164" t="s">
        <v>267</v>
      </c>
    </row>
    <row r="159" spans="1:3" ht="12" customHeight="1" x14ac:dyDescent="0.2">
      <c r="A159" s="793"/>
      <c r="B159" s="168" t="s">
        <v>268</v>
      </c>
      <c r="C159" s="168" t="s">
        <v>269</v>
      </c>
    </row>
    <row r="160" spans="1:3" ht="12" customHeight="1" x14ac:dyDescent="0.2">
      <c r="A160" s="793"/>
      <c r="B160" s="164" t="s">
        <v>270</v>
      </c>
      <c r="C160" s="164" t="s">
        <v>271</v>
      </c>
    </row>
    <row r="161" spans="1:3" ht="12" customHeight="1" x14ac:dyDescent="0.2">
      <c r="A161" s="794"/>
      <c r="B161" s="164" t="s">
        <v>272</v>
      </c>
      <c r="C161" s="164" t="s">
        <v>273</v>
      </c>
    </row>
    <row r="162" spans="1:3" ht="12" customHeight="1" x14ac:dyDescent="0.2">
      <c r="A162" s="175" t="s">
        <v>274</v>
      </c>
      <c r="B162" s="164" t="s">
        <v>275</v>
      </c>
      <c r="C162" s="164" t="s">
        <v>276</v>
      </c>
    </row>
    <row r="163" spans="1:3" ht="12" customHeight="1" x14ac:dyDescent="0.2">
      <c r="C163" s="167"/>
    </row>
    <row r="164" spans="1:3" ht="12" customHeight="1" x14ac:dyDescent="0.2">
      <c r="C164" s="167"/>
    </row>
    <row r="165" spans="1:3" ht="12" customHeight="1" x14ac:dyDescent="0.2">
      <c r="C165" s="167"/>
    </row>
    <row r="166" spans="1:3" ht="12" customHeight="1" x14ac:dyDescent="0.2">
      <c r="C166" s="167"/>
    </row>
    <row r="167" spans="1:3" ht="12" customHeight="1" x14ac:dyDescent="0.2">
      <c r="C167" s="167"/>
    </row>
    <row r="168" spans="1:3" ht="12" customHeight="1" x14ac:dyDescent="0.2">
      <c r="C168" s="167"/>
    </row>
    <row r="169" spans="1:3" ht="12" customHeight="1" x14ac:dyDescent="0.2">
      <c r="C169" s="167"/>
    </row>
    <row r="170" spans="1:3" ht="12" customHeight="1" x14ac:dyDescent="0.2">
      <c r="C170" s="167"/>
    </row>
    <row r="171" spans="1:3" ht="12" customHeight="1" x14ac:dyDescent="0.2">
      <c r="C171" s="167"/>
    </row>
    <row r="172" spans="1:3" ht="12" customHeight="1" x14ac:dyDescent="0.2">
      <c r="C172" s="167"/>
    </row>
    <row r="173" spans="1:3" ht="12" customHeight="1" x14ac:dyDescent="0.2">
      <c r="C173" s="167"/>
    </row>
    <row r="174" spans="1:3" ht="12" customHeight="1" x14ac:dyDescent="0.2">
      <c r="C174" s="167"/>
    </row>
    <row r="175" spans="1:3" ht="12" customHeight="1" x14ac:dyDescent="0.2">
      <c r="C175" s="167"/>
    </row>
    <row r="176" spans="1:3" ht="12" customHeight="1" x14ac:dyDescent="0.2">
      <c r="C176" s="167"/>
    </row>
    <row r="177" spans="3:3" ht="12" customHeight="1" x14ac:dyDescent="0.2">
      <c r="C177" s="167"/>
    </row>
    <row r="178" spans="3:3" ht="12" customHeight="1" x14ac:dyDescent="0.2">
      <c r="C178" s="167"/>
    </row>
    <row r="179" spans="3:3" ht="12" customHeight="1" x14ac:dyDescent="0.2">
      <c r="C179" s="167"/>
    </row>
    <row r="180" spans="3:3" ht="12" customHeight="1" x14ac:dyDescent="0.2">
      <c r="C180" s="167"/>
    </row>
    <row r="181" spans="3:3" ht="12" customHeight="1" x14ac:dyDescent="0.2">
      <c r="C181" s="167"/>
    </row>
    <row r="182" spans="3:3" ht="12" customHeight="1" x14ac:dyDescent="0.2">
      <c r="C182" s="167"/>
    </row>
    <row r="183" spans="3:3" ht="12" customHeight="1" x14ac:dyDescent="0.2">
      <c r="C183" s="167"/>
    </row>
    <row r="184" spans="3:3" ht="12" customHeight="1" x14ac:dyDescent="0.2">
      <c r="C184" s="167"/>
    </row>
    <row r="185" spans="3:3" ht="12" customHeight="1" x14ac:dyDescent="0.2">
      <c r="C185" s="167"/>
    </row>
    <row r="186" spans="3:3" ht="12" customHeight="1" x14ac:dyDescent="0.2">
      <c r="C186" s="167"/>
    </row>
    <row r="187" spans="3:3" ht="12" customHeight="1" x14ac:dyDescent="0.2">
      <c r="C187" s="167"/>
    </row>
    <row r="188" spans="3:3" ht="12" customHeight="1" x14ac:dyDescent="0.2">
      <c r="C188" s="167"/>
    </row>
    <row r="189" spans="3:3" ht="12" customHeight="1" x14ac:dyDescent="0.2">
      <c r="C189" s="167"/>
    </row>
    <row r="190" spans="3:3" ht="12" customHeight="1" x14ac:dyDescent="0.2">
      <c r="C190" s="167"/>
    </row>
    <row r="191" spans="3:3" ht="12" customHeight="1" x14ac:dyDescent="0.2">
      <c r="C191" s="167"/>
    </row>
    <row r="192" spans="3:3" ht="12" customHeight="1" x14ac:dyDescent="0.2">
      <c r="C192" s="167"/>
    </row>
    <row r="193" spans="3:3" ht="12" customHeight="1" x14ac:dyDescent="0.2">
      <c r="C193" s="167"/>
    </row>
    <row r="194" spans="3:3" ht="12" customHeight="1" x14ac:dyDescent="0.2">
      <c r="C194" s="167"/>
    </row>
    <row r="195" spans="3:3" ht="12" customHeight="1" x14ac:dyDescent="0.2">
      <c r="C195" s="167"/>
    </row>
    <row r="196" spans="3:3" ht="12" customHeight="1" x14ac:dyDescent="0.2">
      <c r="C196" s="167"/>
    </row>
    <row r="197" spans="3:3" ht="12" customHeight="1" x14ac:dyDescent="0.2">
      <c r="C197" s="167"/>
    </row>
    <row r="198" spans="3:3" ht="12" customHeight="1" x14ac:dyDescent="0.2">
      <c r="C198" s="167"/>
    </row>
    <row r="199" spans="3:3" ht="12" customHeight="1" x14ac:dyDescent="0.2">
      <c r="C199" s="167"/>
    </row>
    <row r="200" spans="3:3" ht="12" customHeight="1" x14ac:dyDescent="0.2">
      <c r="C200" s="167"/>
    </row>
    <row r="201" spans="3:3" ht="12" customHeight="1" x14ac:dyDescent="0.2">
      <c r="C201" s="167"/>
    </row>
    <row r="202" spans="3:3" ht="12" customHeight="1" x14ac:dyDescent="0.2">
      <c r="C202" s="167"/>
    </row>
    <row r="203" spans="3:3" ht="12" customHeight="1" x14ac:dyDescent="0.2">
      <c r="C203" s="167"/>
    </row>
    <row r="204" spans="3:3" ht="12" customHeight="1" x14ac:dyDescent="0.2">
      <c r="C204" s="167"/>
    </row>
    <row r="205" spans="3:3" ht="12" customHeight="1" x14ac:dyDescent="0.2">
      <c r="C205" s="167"/>
    </row>
    <row r="206" spans="3:3" ht="12" customHeight="1" x14ac:dyDescent="0.2">
      <c r="C206" s="167"/>
    </row>
    <row r="207" spans="3:3" ht="12" customHeight="1" x14ac:dyDescent="0.2">
      <c r="C207" s="167"/>
    </row>
    <row r="208" spans="3:3" ht="12" customHeight="1" x14ac:dyDescent="0.2">
      <c r="C208" s="167"/>
    </row>
    <row r="209" spans="3:3" ht="12" customHeight="1" x14ac:dyDescent="0.2">
      <c r="C209" s="167"/>
    </row>
    <row r="210" spans="3:3" ht="12" customHeight="1" x14ac:dyDescent="0.2">
      <c r="C210" s="167"/>
    </row>
    <row r="211" spans="3:3" ht="12" customHeight="1" x14ac:dyDescent="0.2">
      <c r="C211" s="167"/>
    </row>
    <row r="212" spans="3:3" ht="12" customHeight="1" x14ac:dyDescent="0.2">
      <c r="C212" s="167"/>
    </row>
    <row r="213" spans="3:3" ht="12" customHeight="1" x14ac:dyDescent="0.2">
      <c r="C213" s="167"/>
    </row>
    <row r="214" spans="3:3" ht="12" customHeight="1" x14ac:dyDescent="0.2">
      <c r="C214" s="167"/>
    </row>
    <row r="215" spans="3:3" ht="12" customHeight="1" x14ac:dyDescent="0.2">
      <c r="C215" s="167"/>
    </row>
    <row r="216" spans="3:3" ht="12" customHeight="1" x14ac:dyDescent="0.2">
      <c r="C216" s="167"/>
    </row>
    <row r="217" spans="3:3" ht="12" customHeight="1" x14ac:dyDescent="0.2">
      <c r="C217" s="167"/>
    </row>
    <row r="218" spans="3:3" ht="12" customHeight="1" x14ac:dyDescent="0.2">
      <c r="C218" s="167"/>
    </row>
    <row r="219" spans="3:3" ht="12" customHeight="1" x14ac:dyDescent="0.2">
      <c r="C219" s="167"/>
    </row>
    <row r="220" spans="3:3" ht="12" customHeight="1" x14ac:dyDescent="0.2">
      <c r="C220" s="167"/>
    </row>
    <row r="221" spans="3:3" ht="12" customHeight="1" x14ac:dyDescent="0.2">
      <c r="C221" s="167"/>
    </row>
    <row r="222" spans="3:3" ht="12" customHeight="1" x14ac:dyDescent="0.2">
      <c r="C222" s="167"/>
    </row>
    <row r="223" spans="3:3" ht="12" customHeight="1" x14ac:dyDescent="0.2">
      <c r="C223" s="167"/>
    </row>
    <row r="224" spans="3:3" ht="12" customHeight="1" x14ac:dyDescent="0.2">
      <c r="C224" s="167"/>
    </row>
    <row r="225" spans="3:3" ht="12" customHeight="1" x14ac:dyDescent="0.2">
      <c r="C225" s="167"/>
    </row>
    <row r="226" spans="3:3" ht="12" customHeight="1" x14ac:dyDescent="0.2">
      <c r="C226" s="167"/>
    </row>
    <row r="227" spans="3:3" ht="12" customHeight="1" x14ac:dyDescent="0.2">
      <c r="C227" s="167"/>
    </row>
    <row r="228" spans="3:3" ht="12" customHeight="1" x14ac:dyDescent="0.2">
      <c r="C228" s="167"/>
    </row>
    <row r="229" spans="3:3" ht="12" customHeight="1" x14ac:dyDescent="0.2">
      <c r="C229" s="167"/>
    </row>
    <row r="230" spans="3:3" ht="12" customHeight="1" x14ac:dyDescent="0.2">
      <c r="C230" s="167"/>
    </row>
    <row r="231" spans="3:3" ht="12" customHeight="1" x14ac:dyDescent="0.2">
      <c r="C231" s="167"/>
    </row>
    <row r="232" spans="3:3" ht="12" customHeight="1" x14ac:dyDescent="0.2">
      <c r="C232" s="167"/>
    </row>
    <row r="233" spans="3:3" ht="12" customHeight="1" x14ac:dyDescent="0.2">
      <c r="C233" s="167"/>
    </row>
    <row r="234" spans="3:3" ht="12" customHeight="1" x14ac:dyDescent="0.2">
      <c r="C234" s="167"/>
    </row>
    <row r="235" spans="3:3" ht="12" customHeight="1" x14ac:dyDescent="0.2">
      <c r="C235" s="167"/>
    </row>
    <row r="236" spans="3:3" ht="12" customHeight="1" x14ac:dyDescent="0.2">
      <c r="C236" s="167"/>
    </row>
    <row r="237" spans="3:3" ht="12" customHeight="1" x14ac:dyDescent="0.2">
      <c r="C237" s="167"/>
    </row>
    <row r="238" spans="3:3" ht="12" customHeight="1" x14ac:dyDescent="0.2">
      <c r="C238" s="167"/>
    </row>
    <row r="239" spans="3:3" ht="12" customHeight="1" x14ac:dyDescent="0.2">
      <c r="C239" s="167"/>
    </row>
    <row r="240" spans="3:3" ht="12" customHeight="1" x14ac:dyDescent="0.2">
      <c r="C240" s="167"/>
    </row>
    <row r="241" spans="3:3" ht="12" customHeight="1" x14ac:dyDescent="0.2">
      <c r="C241" s="167"/>
    </row>
    <row r="242" spans="3:3" ht="12" customHeight="1" x14ac:dyDescent="0.2">
      <c r="C242" s="167"/>
    </row>
    <row r="243" spans="3:3" ht="12" customHeight="1" x14ac:dyDescent="0.2">
      <c r="C243" s="167"/>
    </row>
    <row r="244" spans="3:3" ht="12" customHeight="1" x14ac:dyDescent="0.2">
      <c r="C244" s="167"/>
    </row>
    <row r="245" spans="3:3" ht="12" customHeight="1" x14ac:dyDescent="0.2">
      <c r="C245" s="167"/>
    </row>
    <row r="246" spans="3:3" ht="12" customHeight="1" x14ac:dyDescent="0.2">
      <c r="C246" s="167"/>
    </row>
    <row r="247" spans="3:3" ht="12" customHeight="1" x14ac:dyDescent="0.2">
      <c r="C247" s="167"/>
    </row>
    <row r="248" spans="3:3" ht="12" customHeight="1" x14ac:dyDescent="0.2">
      <c r="C248" s="167"/>
    </row>
    <row r="249" spans="3:3" ht="12" customHeight="1" x14ac:dyDescent="0.2">
      <c r="C249" s="167"/>
    </row>
    <row r="250" spans="3:3" ht="12" customHeight="1" x14ac:dyDescent="0.2">
      <c r="C250" s="167"/>
    </row>
    <row r="251" spans="3:3" ht="12" customHeight="1" x14ac:dyDescent="0.2">
      <c r="C251" s="167"/>
    </row>
    <row r="252" spans="3:3" ht="12" customHeight="1" x14ac:dyDescent="0.2">
      <c r="C252" s="167"/>
    </row>
    <row r="253" spans="3:3" ht="12" customHeight="1" x14ac:dyDescent="0.2">
      <c r="C253" s="167"/>
    </row>
    <row r="254" spans="3:3" ht="12" customHeight="1" x14ac:dyDescent="0.2">
      <c r="C254" s="167"/>
    </row>
    <row r="255" spans="3:3" ht="12" customHeight="1" x14ac:dyDescent="0.2">
      <c r="C255" s="167"/>
    </row>
    <row r="256" spans="3:3" ht="12" customHeight="1" x14ac:dyDescent="0.2">
      <c r="C256" s="167"/>
    </row>
    <row r="257" spans="3:3" ht="12" customHeight="1" x14ac:dyDescent="0.2">
      <c r="C257" s="167"/>
    </row>
    <row r="258" spans="3:3" ht="12" customHeight="1" x14ac:dyDescent="0.2">
      <c r="C258" s="167"/>
    </row>
    <row r="259" spans="3:3" ht="12" customHeight="1" x14ac:dyDescent="0.2">
      <c r="C259" s="167"/>
    </row>
    <row r="260" spans="3:3" ht="12" customHeight="1" x14ac:dyDescent="0.2">
      <c r="C260" s="167"/>
    </row>
    <row r="261" spans="3:3" ht="12" customHeight="1" x14ac:dyDescent="0.2">
      <c r="C261" s="167"/>
    </row>
    <row r="262" spans="3:3" ht="12" customHeight="1" x14ac:dyDescent="0.2">
      <c r="C262" s="167"/>
    </row>
    <row r="263" spans="3:3" ht="12" customHeight="1" x14ac:dyDescent="0.2">
      <c r="C263" s="167"/>
    </row>
    <row r="264" spans="3:3" ht="12" customHeight="1" x14ac:dyDescent="0.2">
      <c r="C264" s="167"/>
    </row>
    <row r="265" spans="3:3" ht="12" customHeight="1" x14ac:dyDescent="0.2">
      <c r="C265" s="167"/>
    </row>
    <row r="266" spans="3:3" ht="12" customHeight="1" x14ac:dyDescent="0.2">
      <c r="C266" s="167"/>
    </row>
    <row r="267" spans="3:3" ht="12" customHeight="1" x14ac:dyDescent="0.2">
      <c r="C267" s="167"/>
    </row>
    <row r="268" spans="3:3" ht="12" customHeight="1" x14ac:dyDescent="0.2">
      <c r="C268" s="167"/>
    </row>
    <row r="269" spans="3:3" ht="12" customHeight="1" x14ac:dyDescent="0.2">
      <c r="C269" s="167"/>
    </row>
    <row r="270" spans="3:3" ht="12" customHeight="1" x14ac:dyDescent="0.2">
      <c r="C270" s="167"/>
    </row>
    <row r="271" spans="3:3" ht="12" customHeight="1" x14ac:dyDescent="0.2">
      <c r="C271" s="167"/>
    </row>
    <row r="272" spans="3:3" ht="12" customHeight="1" x14ac:dyDescent="0.2">
      <c r="C272" s="167"/>
    </row>
    <row r="273" spans="3:3" ht="12" customHeight="1" x14ac:dyDescent="0.2">
      <c r="C273" s="167"/>
    </row>
    <row r="274" spans="3:3" ht="12" customHeight="1" x14ac:dyDescent="0.2">
      <c r="C274" s="167"/>
    </row>
    <row r="275" spans="3:3" ht="12" customHeight="1" x14ac:dyDescent="0.2">
      <c r="C275" s="167"/>
    </row>
    <row r="276" spans="3:3" ht="12" customHeight="1" x14ac:dyDescent="0.2">
      <c r="C276" s="167"/>
    </row>
    <row r="277" spans="3:3" ht="12" customHeight="1" x14ac:dyDescent="0.2">
      <c r="C277" s="167"/>
    </row>
    <row r="278" spans="3:3" ht="12" customHeight="1" x14ac:dyDescent="0.2">
      <c r="C278" s="167"/>
    </row>
    <row r="279" spans="3:3" ht="12" customHeight="1" x14ac:dyDescent="0.2">
      <c r="C279" s="167"/>
    </row>
    <row r="280" spans="3:3" ht="12" customHeight="1" x14ac:dyDescent="0.2">
      <c r="C280" s="167"/>
    </row>
    <row r="281" spans="3:3" ht="12" customHeight="1" x14ac:dyDescent="0.2">
      <c r="C281" s="167"/>
    </row>
    <row r="282" spans="3:3" ht="12" customHeight="1" x14ac:dyDescent="0.2">
      <c r="C282" s="167"/>
    </row>
    <row r="283" spans="3:3" ht="12" customHeight="1" x14ac:dyDescent="0.2">
      <c r="C283" s="167"/>
    </row>
    <row r="284" spans="3:3" ht="12" customHeight="1" x14ac:dyDescent="0.2">
      <c r="C284" s="167"/>
    </row>
    <row r="285" spans="3:3" ht="12" customHeight="1" x14ac:dyDescent="0.2">
      <c r="C285" s="167"/>
    </row>
    <row r="286" spans="3:3" ht="12" customHeight="1" x14ac:dyDescent="0.2">
      <c r="C286" s="167"/>
    </row>
    <row r="287" spans="3:3" ht="12" customHeight="1" x14ac:dyDescent="0.2">
      <c r="C287" s="167"/>
    </row>
    <row r="288" spans="3:3" ht="12" customHeight="1" x14ac:dyDescent="0.2">
      <c r="C288" s="167"/>
    </row>
    <row r="289" spans="3:3" ht="12" customHeight="1" x14ac:dyDescent="0.2">
      <c r="C289" s="167"/>
    </row>
    <row r="290" spans="3:3" ht="12" customHeight="1" x14ac:dyDescent="0.2">
      <c r="C290" s="167"/>
    </row>
    <row r="291" spans="3:3" ht="12" customHeight="1" x14ac:dyDescent="0.2">
      <c r="C291" s="167"/>
    </row>
    <row r="292" spans="3:3" ht="12" customHeight="1" x14ac:dyDescent="0.2">
      <c r="C292" s="167"/>
    </row>
    <row r="293" spans="3:3" ht="12" customHeight="1" x14ac:dyDescent="0.2">
      <c r="C293" s="167"/>
    </row>
    <row r="294" spans="3:3" ht="12" customHeight="1" x14ac:dyDescent="0.2">
      <c r="C294" s="167"/>
    </row>
    <row r="295" spans="3:3" ht="12" customHeight="1" x14ac:dyDescent="0.2">
      <c r="C295" s="167"/>
    </row>
    <row r="296" spans="3:3" ht="12" customHeight="1" x14ac:dyDescent="0.2">
      <c r="C296" s="167"/>
    </row>
    <row r="297" spans="3:3" ht="12" customHeight="1" x14ac:dyDescent="0.2">
      <c r="C297" s="167"/>
    </row>
    <row r="298" spans="3:3" ht="12" customHeight="1" x14ac:dyDescent="0.2">
      <c r="C298" s="167"/>
    </row>
    <row r="299" spans="3:3" ht="12" customHeight="1" x14ac:dyDescent="0.2">
      <c r="C299" s="167"/>
    </row>
    <row r="300" spans="3:3" ht="12" customHeight="1" x14ac:dyDescent="0.2">
      <c r="C300" s="167"/>
    </row>
    <row r="301" spans="3:3" ht="12" customHeight="1" x14ac:dyDescent="0.2">
      <c r="C301" s="167"/>
    </row>
    <row r="302" spans="3:3" ht="12" customHeight="1" x14ac:dyDescent="0.2">
      <c r="C302" s="167"/>
    </row>
    <row r="303" spans="3:3" ht="12" customHeight="1" x14ac:dyDescent="0.2">
      <c r="C303" s="167"/>
    </row>
    <row r="304" spans="3:3" ht="12" customHeight="1" x14ac:dyDescent="0.2">
      <c r="C304" s="167"/>
    </row>
    <row r="305" spans="3:3" ht="12" customHeight="1" x14ac:dyDescent="0.2">
      <c r="C305" s="167"/>
    </row>
    <row r="306" spans="3:3" ht="12" customHeight="1" x14ac:dyDescent="0.2">
      <c r="C306" s="167"/>
    </row>
    <row r="307" spans="3:3" ht="12" customHeight="1" x14ac:dyDescent="0.2">
      <c r="C307" s="167"/>
    </row>
    <row r="308" spans="3:3" ht="12" customHeight="1" x14ac:dyDescent="0.2">
      <c r="C308" s="167"/>
    </row>
    <row r="309" spans="3:3" ht="12" customHeight="1" x14ac:dyDescent="0.2">
      <c r="C309" s="167"/>
    </row>
    <row r="310" spans="3:3" ht="12" customHeight="1" x14ac:dyDescent="0.2">
      <c r="C310" s="167"/>
    </row>
    <row r="311" spans="3:3" ht="12" customHeight="1" x14ac:dyDescent="0.2">
      <c r="C311" s="167"/>
    </row>
    <row r="312" spans="3:3" ht="12" customHeight="1" x14ac:dyDescent="0.2">
      <c r="C312" s="167"/>
    </row>
    <row r="313" spans="3:3" ht="12" customHeight="1" x14ac:dyDescent="0.2">
      <c r="C313" s="167"/>
    </row>
    <row r="314" spans="3:3" ht="12" customHeight="1" x14ac:dyDescent="0.2">
      <c r="C314" s="167"/>
    </row>
    <row r="315" spans="3:3" ht="12" customHeight="1" x14ac:dyDescent="0.2">
      <c r="C315" s="167"/>
    </row>
    <row r="316" spans="3:3" ht="12" customHeight="1" x14ac:dyDescent="0.2">
      <c r="C316" s="167"/>
    </row>
    <row r="317" spans="3:3" ht="12" customHeight="1" x14ac:dyDescent="0.2">
      <c r="C317" s="167"/>
    </row>
    <row r="318" spans="3:3" ht="12" customHeight="1" x14ac:dyDescent="0.2">
      <c r="C318" s="167"/>
    </row>
    <row r="319" spans="3:3" ht="12" customHeight="1" x14ac:dyDescent="0.2">
      <c r="C319" s="167"/>
    </row>
    <row r="320" spans="3:3" ht="12" customHeight="1" x14ac:dyDescent="0.2">
      <c r="C320" s="167"/>
    </row>
    <row r="321" spans="3:3" ht="12" customHeight="1" x14ac:dyDescent="0.2">
      <c r="C321" s="167"/>
    </row>
    <row r="322" spans="3:3" ht="12" customHeight="1" x14ac:dyDescent="0.2">
      <c r="C322" s="167"/>
    </row>
    <row r="323" spans="3:3" ht="12" customHeight="1" x14ac:dyDescent="0.2">
      <c r="C323" s="167"/>
    </row>
    <row r="324" spans="3:3" ht="12" customHeight="1" x14ac:dyDescent="0.2">
      <c r="C324" s="167"/>
    </row>
    <row r="325" spans="3:3" ht="12" customHeight="1" x14ac:dyDescent="0.2">
      <c r="C325" s="167"/>
    </row>
    <row r="326" spans="3:3" ht="12" customHeight="1" x14ac:dyDescent="0.2">
      <c r="C326" s="167"/>
    </row>
    <row r="327" spans="3:3" ht="12" customHeight="1" x14ac:dyDescent="0.2">
      <c r="C327" s="167"/>
    </row>
    <row r="328" spans="3:3" ht="12" customHeight="1" x14ac:dyDescent="0.2">
      <c r="C328" s="167"/>
    </row>
    <row r="329" spans="3:3" ht="12" customHeight="1" x14ac:dyDescent="0.2">
      <c r="C329" s="167"/>
    </row>
    <row r="330" spans="3:3" ht="12" customHeight="1" x14ac:dyDescent="0.2">
      <c r="C330" s="167"/>
    </row>
    <row r="331" spans="3:3" ht="12" customHeight="1" x14ac:dyDescent="0.2">
      <c r="C331" s="167"/>
    </row>
    <row r="332" spans="3:3" ht="12" customHeight="1" x14ac:dyDescent="0.2">
      <c r="C332" s="167"/>
    </row>
    <row r="333" spans="3:3" ht="12" customHeight="1" x14ac:dyDescent="0.2">
      <c r="C333" s="167"/>
    </row>
    <row r="334" spans="3:3" ht="12" customHeight="1" x14ac:dyDescent="0.2">
      <c r="C334" s="167"/>
    </row>
    <row r="335" spans="3:3" ht="12" customHeight="1" x14ac:dyDescent="0.2">
      <c r="C335" s="167"/>
    </row>
    <row r="336" spans="3:3" ht="12" customHeight="1" x14ac:dyDescent="0.2">
      <c r="C336" s="167"/>
    </row>
    <row r="337" spans="3:3" ht="12" customHeight="1" x14ac:dyDescent="0.2">
      <c r="C337" s="167"/>
    </row>
    <row r="338" spans="3:3" ht="12" customHeight="1" x14ac:dyDescent="0.2">
      <c r="C338" s="167"/>
    </row>
    <row r="339" spans="3:3" ht="12" customHeight="1" x14ac:dyDescent="0.2">
      <c r="C339" s="167"/>
    </row>
    <row r="340" spans="3:3" ht="12" customHeight="1" x14ac:dyDescent="0.2">
      <c r="C340" s="167"/>
    </row>
    <row r="341" spans="3:3" ht="12" customHeight="1" x14ac:dyDescent="0.2">
      <c r="C341" s="167"/>
    </row>
    <row r="342" spans="3:3" ht="12" customHeight="1" x14ac:dyDescent="0.2">
      <c r="C342" s="167"/>
    </row>
    <row r="343" spans="3:3" ht="12" customHeight="1" x14ac:dyDescent="0.2">
      <c r="C343" s="167"/>
    </row>
    <row r="344" spans="3:3" ht="12" customHeight="1" x14ac:dyDescent="0.2">
      <c r="C344" s="167"/>
    </row>
    <row r="345" spans="3:3" ht="12" customHeight="1" x14ac:dyDescent="0.2">
      <c r="C345" s="167"/>
    </row>
    <row r="346" spans="3:3" ht="12" customHeight="1" x14ac:dyDescent="0.2">
      <c r="C346" s="167"/>
    </row>
    <row r="347" spans="3:3" ht="12" customHeight="1" x14ac:dyDescent="0.2">
      <c r="C347" s="167"/>
    </row>
    <row r="348" spans="3:3" ht="12" customHeight="1" x14ac:dyDescent="0.2">
      <c r="C348" s="167"/>
    </row>
    <row r="349" spans="3:3" ht="12" customHeight="1" x14ac:dyDescent="0.2">
      <c r="C349" s="167"/>
    </row>
    <row r="350" spans="3:3" ht="12" customHeight="1" x14ac:dyDescent="0.2">
      <c r="C350" s="167"/>
    </row>
    <row r="351" spans="3:3" ht="12" customHeight="1" x14ac:dyDescent="0.2">
      <c r="C351" s="167"/>
    </row>
    <row r="352" spans="3:3" ht="12" customHeight="1" x14ac:dyDescent="0.2">
      <c r="C352" s="167"/>
    </row>
    <row r="353" spans="3:3" ht="12" customHeight="1" x14ac:dyDescent="0.2">
      <c r="C353" s="167"/>
    </row>
    <row r="354" spans="3:3" ht="12" customHeight="1" x14ac:dyDescent="0.2">
      <c r="C354" s="167"/>
    </row>
    <row r="355" spans="3:3" ht="12" customHeight="1" x14ac:dyDescent="0.2">
      <c r="C355" s="167"/>
    </row>
    <row r="356" spans="3:3" ht="12" customHeight="1" x14ac:dyDescent="0.2">
      <c r="C356" s="167"/>
    </row>
    <row r="357" spans="3:3" ht="12" customHeight="1" x14ac:dyDescent="0.2">
      <c r="C357" s="167"/>
    </row>
    <row r="358" spans="3:3" ht="12" customHeight="1" x14ac:dyDescent="0.2">
      <c r="C358" s="167"/>
    </row>
    <row r="359" spans="3:3" ht="12" customHeight="1" x14ac:dyDescent="0.2">
      <c r="C359" s="167"/>
    </row>
    <row r="360" spans="3:3" ht="12" customHeight="1" x14ac:dyDescent="0.2">
      <c r="C360" s="167"/>
    </row>
    <row r="361" spans="3:3" ht="12" customHeight="1" x14ac:dyDescent="0.2">
      <c r="C361" s="167"/>
    </row>
    <row r="362" spans="3:3" ht="12" customHeight="1" x14ac:dyDescent="0.2">
      <c r="C362" s="167"/>
    </row>
    <row r="363" spans="3:3" ht="12" customHeight="1" x14ac:dyDescent="0.2">
      <c r="C363" s="167"/>
    </row>
    <row r="364" spans="3:3" ht="12" customHeight="1" x14ac:dyDescent="0.2">
      <c r="C364" s="167"/>
    </row>
    <row r="365" spans="3:3" ht="12" customHeight="1" x14ac:dyDescent="0.2">
      <c r="C365" s="167"/>
    </row>
    <row r="366" spans="3:3" ht="12" customHeight="1" x14ac:dyDescent="0.2">
      <c r="C366" s="167"/>
    </row>
    <row r="367" spans="3:3" ht="12" customHeight="1" x14ac:dyDescent="0.2">
      <c r="C367" s="167"/>
    </row>
    <row r="368" spans="3:3" ht="12" customHeight="1" x14ac:dyDescent="0.2">
      <c r="C368" s="167"/>
    </row>
    <row r="369" spans="3:3" ht="12" customHeight="1" x14ac:dyDescent="0.2">
      <c r="C369" s="167"/>
    </row>
    <row r="370" spans="3:3" ht="12" customHeight="1" x14ac:dyDescent="0.2">
      <c r="C370" s="167"/>
    </row>
    <row r="371" spans="3:3" ht="12" customHeight="1" x14ac:dyDescent="0.2">
      <c r="C371" s="167"/>
    </row>
    <row r="372" spans="3:3" ht="12" customHeight="1" x14ac:dyDescent="0.2">
      <c r="C372" s="167"/>
    </row>
    <row r="373" spans="3:3" ht="12" customHeight="1" x14ac:dyDescent="0.2">
      <c r="C373" s="167"/>
    </row>
    <row r="374" spans="3:3" ht="12" customHeight="1" x14ac:dyDescent="0.2">
      <c r="C374" s="167"/>
    </row>
    <row r="375" spans="3:3" ht="12" customHeight="1" x14ac:dyDescent="0.2">
      <c r="C375" s="167"/>
    </row>
    <row r="376" spans="3:3" ht="12" customHeight="1" x14ac:dyDescent="0.2">
      <c r="C376" s="167"/>
    </row>
    <row r="377" spans="3:3" ht="12" customHeight="1" x14ac:dyDescent="0.2">
      <c r="C377" s="167"/>
    </row>
    <row r="378" spans="3:3" ht="12" customHeight="1" x14ac:dyDescent="0.2">
      <c r="C378" s="167"/>
    </row>
    <row r="379" spans="3:3" ht="12" customHeight="1" x14ac:dyDescent="0.2">
      <c r="C379" s="167"/>
    </row>
    <row r="380" spans="3:3" ht="12" customHeight="1" x14ac:dyDescent="0.2">
      <c r="C380" s="167"/>
    </row>
    <row r="381" spans="3:3" ht="12" customHeight="1" x14ac:dyDescent="0.2">
      <c r="C381" s="167"/>
    </row>
    <row r="382" spans="3:3" ht="12" customHeight="1" x14ac:dyDescent="0.2">
      <c r="C382" s="167"/>
    </row>
    <row r="383" spans="3:3" ht="12" customHeight="1" x14ac:dyDescent="0.2">
      <c r="C383" s="167"/>
    </row>
    <row r="384" spans="3:3" ht="12" customHeight="1" x14ac:dyDescent="0.2">
      <c r="C384" s="167"/>
    </row>
    <row r="385" spans="3:3" ht="12" customHeight="1" x14ac:dyDescent="0.2">
      <c r="C385" s="167"/>
    </row>
    <row r="386" spans="3:3" ht="12" customHeight="1" x14ac:dyDescent="0.2">
      <c r="C386" s="167"/>
    </row>
    <row r="387" spans="3:3" ht="12" customHeight="1" x14ac:dyDescent="0.2">
      <c r="C387" s="167"/>
    </row>
    <row r="388" spans="3:3" ht="12" customHeight="1" x14ac:dyDescent="0.2">
      <c r="C388" s="167"/>
    </row>
    <row r="389" spans="3:3" ht="12" customHeight="1" x14ac:dyDescent="0.2">
      <c r="C389" s="167"/>
    </row>
    <row r="390" spans="3:3" ht="12" customHeight="1" x14ac:dyDescent="0.2">
      <c r="C390" s="167"/>
    </row>
    <row r="391" spans="3:3" ht="12" customHeight="1" x14ac:dyDescent="0.2">
      <c r="C391" s="167"/>
    </row>
    <row r="392" spans="3:3" ht="12" customHeight="1" x14ac:dyDescent="0.2">
      <c r="C392" s="167"/>
    </row>
    <row r="393" spans="3:3" ht="12" customHeight="1" x14ac:dyDescent="0.2">
      <c r="C393" s="167"/>
    </row>
    <row r="394" spans="3:3" ht="12" customHeight="1" x14ac:dyDescent="0.2">
      <c r="C394" s="167"/>
    </row>
    <row r="395" spans="3:3" ht="12" customHeight="1" x14ac:dyDescent="0.2">
      <c r="C395" s="167"/>
    </row>
    <row r="396" spans="3:3" ht="12" customHeight="1" x14ac:dyDescent="0.2">
      <c r="C396" s="167"/>
    </row>
    <row r="397" spans="3:3" ht="12" customHeight="1" x14ac:dyDescent="0.2">
      <c r="C397" s="167"/>
    </row>
    <row r="398" spans="3:3" ht="12" customHeight="1" x14ac:dyDescent="0.2">
      <c r="C398" s="167"/>
    </row>
    <row r="399" spans="3:3" ht="12" customHeight="1" x14ac:dyDescent="0.2">
      <c r="C399" s="167"/>
    </row>
    <row r="400" spans="3:3" ht="12" customHeight="1" x14ac:dyDescent="0.2">
      <c r="C400" s="167"/>
    </row>
    <row r="401" spans="3:3" ht="12" customHeight="1" x14ac:dyDescent="0.2">
      <c r="C401" s="167"/>
    </row>
    <row r="402" spans="3:3" ht="12" customHeight="1" x14ac:dyDescent="0.2">
      <c r="C402" s="167"/>
    </row>
    <row r="403" spans="3:3" ht="12" customHeight="1" x14ac:dyDescent="0.2">
      <c r="C403" s="167"/>
    </row>
    <row r="404" spans="3:3" ht="12" customHeight="1" x14ac:dyDescent="0.2">
      <c r="C404" s="167"/>
    </row>
    <row r="405" spans="3:3" ht="12" customHeight="1" x14ac:dyDescent="0.2">
      <c r="C405" s="167"/>
    </row>
    <row r="406" spans="3:3" ht="12" customHeight="1" x14ac:dyDescent="0.2">
      <c r="C406" s="167"/>
    </row>
    <row r="407" spans="3:3" ht="12" customHeight="1" x14ac:dyDescent="0.2">
      <c r="C407" s="167"/>
    </row>
    <row r="408" spans="3:3" ht="12" customHeight="1" x14ac:dyDescent="0.2">
      <c r="C408" s="167"/>
    </row>
    <row r="409" spans="3:3" ht="12" customHeight="1" x14ac:dyDescent="0.2">
      <c r="C409" s="167"/>
    </row>
    <row r="410" spans="3:3" ht="12" customHeight="1" x14ac:dyDescent="0.2">
      <c r="C410" s="167"/>
    </row>
    <row r="411" spans="3:3" ht="12" customHeight="1" x14ac:dyDescent="0.2">
      <c r="C411" s="167"/>
    </row>
    <row r="412" spans="3:3" ht="12" customHeight="1" x14ac:dyDescent="0.2">
      <c r="C412" s="167"/>
    </row>
    <row r="413" spans="3:3" ht="12" customHeight="1" x14ac:dyDescent="0.2">
      <c r="C413" s="167"/>
    </row>
    <row r="414" spans="3:3" ht="12" customHeight="1" x14ac:dyDescent="0.2">
      <c r="C414" s="167"/>
    </row>
    <row r="415" spans="3:3" ht="12" customHeight="1" x14ac:dyDescent="0.2">
      <c r="C415" s="167"/>
    </row>
    <row r="416" spans="3:3" ht="12" customHeight="1" x14ac:dyDescent="0.2">
      <c r="C416" s="167"/>
    </row>
    <row r="417" spans="3:3" ht="12" customHeight="1" x14ac:dyDescent="0.2">
      <c r="C417" s="167"/>
    </row>
    <row r="418" spans="3:3" ht="12" customHeight="1" x14ac:dyDescent="0.2">
      <c r="C418" s="167"/>
    </row>
    <row r="419" spans="3:3" ht="12" customHeight="1" x14ac:dyDescent="0.2">
      <c r="C419" s="167"/>
    </row>
    <row r="420" spans="3:3" ht="12" customHeight="1" x14ac:dyDescent="0.2">
      <c r="C420" s="167"/>
    </row>
    <row r="421" spans="3:3" ht="12" customHeight="1" x14ac:dyDescent="0.2">
      <c r="C421" s="167"/>
    </row>
    <row r="422" spans="3:3" ht="12" customHeight="1" x14ac:dyDescent="0.2">
      <c r="C422" s="167"/>
    </row>
    <row r="423" spans="3:3" ht="12" customHeight="1" x14ac:dyDescent="0.2">
      <c r="C423" s="167"/>
    </row>
    <row r="424" spans="3:3" ht="12" customHeight="1" x14ac:dyDescent="0.2">
      <c r="C424" s="167"/>
    </row>
    <row r="425" spans="3:3" ht="12" customHeight="1" x14ac:dyDescent="0.2">
      <c r="C425" s="167"/>
    </row>
    <row r="426" spans="3:3" ht="12" customHeight="1" x14ac:dyDescent="0.2">
      <c r="C426" s="167"/>
    </row>
    <row r="427" spans="3:3" ht="12" customHeight="1" x14ac:dyDescent="0.2">
      <c r="C427" s="167"/>
    </row>
    <row r="428" spans="3:3" ht="12" customHeight="1" x14ac:dyDescent="0.2">
      <c r="C428" s="167"/>
    </row>
    <row r="429" spans="3:3" ht="12" customHeight="1" x14ac:dyDescent="0.2">
      <c r="C429" s="167"/>
    </row>
    <row r="430" spans="3:3" ht="12" customHeight="1" x14ac:dyDescent="0.2">
      <c r="C430" s="167"/>
    </row>
    <row r="431" spans="3:3" ht="12" customHeight="1" x14ac:dyDescent="0.2">
      <c r="C431" s="167"/>
    </row>
    <row r="432" spans="3:3" ht="12" customHeight="1" x14ac:dyDescent="0.2">
      <c r="C432" s="167"/>
    </row>
    <row r="433" spans="3:3" ht="12" customHeight="1" x14ac:dyDescent="0.2">
      <c r="C433" s="167"/>
    </row>
    <row r="434" spans="3:3" ht="12" customHeight="1" x14ac:dyDescent="0.2">
      <c r="C434" s="167"/>
    </row>
    <row r="435" spans="3:3" ht="12" customHeight="1" x14ac:dyDescent="0.2">
      <c r="C435" s="167"/>
    </row>
    <row r="436" spans="3:3" ht="12" customHeight="1" x14ac:dyDescent="0.2">
      <c r="C436" s="167"/>
    </row>
    <row r="437" spans="3:3" ht="12" customHeight="1" x14ac:dyDescent="0.2">
      <c r="C437" s="167"/>
    </row>
    <row r="438" spans="3:3" ht="12" customHeight="1" x14ac:dyDescent="0.2">
      <c r="C438" s="167"/>
    </row>
    <row r="439" spans="3:3" ht="12" customHeight="1" x14ac:dyDescent="0.2">
      <c r="C439" s="167"/>
    </row>
    <row r="440" spans="3:3" ht="12" customHeight="1" x14ac:dyDescent="0.2">
      <c r="C440" s="167"/>
    </row>
    <row r="441" spans="3:3" ht="12" customHeight="1" x14ac:dyDescent="0.2">
      <c r="C441" s="167"/>
    </row>
    <row r="442" spans="3:3" ht="12" customHeight="1" x14ac:dyDescent="0.2">
      <c r="C442" s="167"/>
    </row>
    <row r="443" spans="3:3" ht="12" customHeight="1" x14ac:dyDescent="0.2">
      <c r="C443" s="167"/>
    </row>
    <row r="444" spans="3:3" ht="12" customHeight="1" x14ac:dyDescent="0.2">
      <c r="C444" s="167"/>
    </row>
    <row r="445" spans="3:3" ht="12" customHeight="1" x14ac:dyDescent="0.2">
      <c r="C445" s="167"/>
    </row>
    <row r="446" spans="3:3" ht="12" customHeight="1" x14ac:dyDescent="0.2">
      <c r="C446" s="167"/>
    </row>
    <row r="447" spans="3:3" ht="12" customHeight="1" x14ac:dyDescent="0.2">
      <c r="C447" s="167"/>
    </row>
    <row r="448" spans="3:3" ht="12" customHeight="1" x14ac:dyDescent="0.2">
      <c r="C448" s="167"/>
    </row>
    <row r="449" spans="3:3" ht="12" customHeight="1" x14ac:dyDescent="0.2">
      <c r="C449" s="167"/>
    </row>
    <row r="450" spans="3:3" ht="12" customHeight="1" x14ac:dyDescent="0.2">
      <c r="C450" s="167"/>
    </row>
    <row r="451" spans="3:3" ht="12" customHeight="1" x14ac:dyDescent="0.2">
      <c r="C451" s="167"/>
    </row>
    <row r="452" spans="3:3" ht="12" customHeight="1" x14ac:dyDescent="0.2">
      <c r="C452" s="167"/>
    </row>
    <row r="453" spans="3:3" ht="12" customHeight="1" x14ac:dyDescent="0.2">
      <c r="C453" s="167"/>
    </row>
    <row r="454" spans="3:3" ht="12" customHeight="1" x14ac:dyDescent="0.2">
      <c r="C454" s="167"/>
    </row>
    <row r="455" spans="3:3" ht="12" customHeight="1" x14ac:dyDescent="0.2">
      <c r="C455" s="167"/>
    </row>
    <row r="456" spans="3:3" ht="12" customHeight="1" x14ac:dyDescent="0.2">
      <c r="C456" s="167"/>
    </row>
    <row r="457" spans="3:3" ht="12" customHeight="1" x14ac:dyDescent="0.2">
      <c r="C457" s="167"/>
    </row>
    <row r="458" spans="3:3" ht="12" customHeight="1" x14ac:dyDescent="0.2">
      <c r="C458" s="167"/>
    </row>
    <row r="459" spans="3:3" ht="12" customHeight="1" x14ac:dyDescent="0.2">
      <c r="C459" s="167"/>
    </row>
    <row r="460" spans="3:3" ht="12" customHeight="1" x14ac:dyDescent="0.2">
      <c r="C460" s="167"/>
    </row>
    <row r="461" spans="3:3" ht="12" customHeight="1" x14ac:dyDescent="0.2">
      <c r="C461" s="167"/>
    </row>
    <row r="462" spans="3:3" ht="12" customHeight="1" x14ac:dyDescent="0.2">
      <c r="C462" s="167"/>
    </row>
    <row r="463" spans="3:3" ht="12" customHeight="1" x14ac:dyDescent="0.2">
      <c r="C463" s="167"/>
    </row>
    <row r="464" spans="3:3" ht="12" customHeight="1" x14ac:dyDescent="0.2">
      <c r="C464" s="167"/>
    </row>
    <row r="465" spans="3:3" ht="12" customHeight="1" x14ac:dyDescent="0.2">
      <c r="C465" s="167"/>
    </row>
    <row r="466" spans="3:3" ht="12" customHeight="1" x14ac:dyDescent="0.2">
      <c r="C466" s="167"/>
    </row>
    <row r="467" spans="3:3" ht="12" customHeight="1" x14ac:dyDescent="0.2">
      <c r="C467" s="167"/>
    </row>
    <row r="468" spans="3:3" ht="12" customHeight="1" x14ac:dyDescent="0.2">
      <c r="C468" s="167"/>
    </row>
    <row r="469" spans="3:3" ht="12" customHeight="1" x14ac:dyDescent="0.2">
      <c r="C469" s="167"/>
    </row>
    <row r="470" spans="3:3" ht="12" customHeight="1" x14ac:dyDescent="0.2">
      <c r="C470" s="167"/>
    </row>
    <row r="471" spans="3:3" ht="12" customHeight="1" x14ac:dyDescent="0.2">
      <c r="C471" s="167"/>
    </row>
    <row r="472" spans="3:3" ht="12" customHeight="1" x14ac:dyDescent="0.2">
      <c r="C472" s="167"/>
    </row>
    <row r="473" spans="3:3" ht="12" customHeight="1" x14ac:dyDescent="0.2">
      <c r="C473" s="167"/>
    </row>
    <row r="474" spans="3:3" ht="12" customHeight="1" x14ac:dyDescent="0.2">
      <c r="C474" s="167"/>
    </row>
    <row r="475" spans="3:3" ht="12" customHeight="1" x14ac:dyDescent="0.2">
      <c r="C475" s="167"/>
    </row>
    <row r="476" spans="3:3" ht="12" customHeight="1" x14ac:dyDescent="0.2">
      <c r="C476" s="167"/>
    </row>
    <row r="477" spans="3:3" ht="12" customHeight="1" x14ac:dyDescent="0.2">
      <c r="C477" s="167"/>
    </row>
    <row r="478" spans="3:3" ht="12" customHeight="1" x14ac:dyDescent="0.2">
      <c r="C478" s="167"/>
    </row>
    <row r="479" spans="3:3" ht="12" customHeight="1" x14ac:dyDescent="0.2">
      <c r="C479" s="167"/>
    </row>
    <row r="480" spans="3:3" ht="12" customHeight="1" x14ac:dyDescent="0.2">
      <c r="C480" s="167"/>
    </row>
    <row r="481" spans="3:3" ht="12" customHeight="1" x14ac:dyDescent="0.2">
      <c r="C481" s="167"/>
    </row>
    <row r="482" spans="3:3" ht="12" customHeight="1" x14ac:dyDescent="0.2">
      <c r="C482" s="167"/>
    </row>
    <row r="483" spans="3:3" ht="12" customHeight="1" x14ac:dyDescent="0.2">
      <c r="C483" s="167"/>
    </row>
    <row r="484" spans="3:3" ht="12" customHeight="1" x14ac:dyDescent="0.2">
      <c r="C484" s="167"/>
    </row>
    <row r="485" spans="3:3" ht="12" customHeight="1" x14ac:dyDescent="0.2">
      <c r="C485" s="167"/>
    </row>
    <row r="486" spans="3:3" ht="12" customHeight="1" x14ac:dyDescent="0.2">
      <c r="C486" s="167"/>
    </row>
    <row r="487" spans="3:3" ht="12" customHeight="1" x14ac:dyDescent="0.2">
      <c r="C487" s="167"/>
    </row>
    <row r="488" spans="3:3" ht="12" customHeight="1" x14ac:dyDescent="0.2">
      <c r="C488" s="167"/>
    </row>
    <row r="489" spans="3:3" ht="12" customHeight="1" x14ac:dyDescent="0.2">
      <c r="C489" s="167"/>
    </row>
    <row r="490" spans="3:3" ht="12" customHeight="1" x14ac:dyDescent="0.2">
      <c r="C490" s="167"/>
    </row>
    <row r="491" spans="3:3" ht="12" customHeight="1" x14ac:dyDescent="0.2">
      <c r="C491" s="167"/>
    </row>
    <row r="492" spans="3:3" ht="12" customHeight="1" x14ac:dyDescent="0.2">
      <c r="C492" s="167"/>
    </row>
    <row r="493" spans="3:3" ht="12" customHeight="1" x14ac:dyDescent="0.2">
      <c r="C493" s="167"/>
    </row>
    <row r="494" spans="3:3" ht="12" customHeight="1" x14ac:dyDescent="0.2">
      <c r="C494" s="167"/>
    </row>
    <row r="495" spans="3:3" ht="12" customHeight="1" x14ac:dyDescent="0.2">
      <c r="C495" s="167"/>
    </row>
    <row r="496" spans="3:3" ht="12" customHeight="1" x14ac:dyDescent="0.2">
      <c r="C496" s="167"/>
    </row>
    <row r="497" spans="3:3" ht="12" customHeight="1" x14ac:dyDescent="0.2">
      <c r="C497" s="167"/>
    </row>
    <row r="498" spans="3:3" ht="12" customHeight="1" x14ac:dyDescent="0.2">
      <c r="C498" s="167"/>
    </row>
    <row r="499" spans="3:3" ht="12" customHeight="1" x14ac:dyDescent="0.2">
      <c r="C499" s="167"/>
    </row>
    <row r="500" spans="3:3" ht="12" customHeight="1" x14ac:dyDescent="0.2">
      <c r="C500" s="167"/>
    </row>
    <row r="501" spans="3:3" ht="12" customHeight="1" x14ac:dyDescent="0.2">
      <c r="C501" s="167"/>
    </row>
    <row r="502" spans="3:3" ht="12" customHeight="1" x14ac:dyDescent="0.2">
      <c r="C502" s="167"/>
    </row>
    <row r="503" spans="3:3" ht="12" customHeight="1" x14ac:dyDescent="0.2">
      <c r="C503" s="167"/>
    </row>
    <row r="504" spans="3:3" ht="12" customHeight="1" x14ac:dyDescent="0.2">
      <c r="C504" s="167"/>
    </row>
    <row r="505" spans="3:3" ht="12" customHeight="1" x14ac:dyDescent="0.2">
      <c r="C505" s="167"/>
    </row>
    <row r="506" spans="3:3" ht="12" customHeight="1" x14ac:dyDescent="0.2">
      <c r="C506" s="167"/>
    </row>
    <row r="507" spans="3:3" ht="12" customHeight="1" x14ac:dyDescent="0.2">
      <c r="C507" s="167"/>
    </row>
    <row r="508" spans="3:3" ht="12" customHeight="1" x14ac:dyDescent="0.2">
      <c r="C508" s="167"/>
    </row>
    <row r="509" spans="3:3" ht="12" customHeight="1" x14ac:dyDescent="0.2">
      <c r="C509" s="167"/>
    </row>
    <row r="510" spans="3:3" ht="12" customHeight="1" x14ac:dyDescent="0.2">
      <c r="C510" s="167"/>
    </row>
    <row r="511" spans="3:3" ht="12" customHeight="1" x14ac:dyDescent="0.2">
      <c r="C511" s="167"/>
    </row>
    <row r="512" spans="3:3" ht="12" customHeight="1" x14ac:dyDescent="0.2">
      <c r="C512" s="167"/>
    </row>
    <row r="513" spans="3:3" ht="12" customHeight="1" x14ac:dyDescent="0.2">
      <c r="C513" s="167"/>
    </row>
    <row r="514" spans="3:3" ht="12" customHeight="1" x14ac:dyDescent="0.2">
      <c r="C514" s="167"/>
    </row>
    <row r="515" spans="3:3" ht="12" customHeight="1" x14ac:dyDescent="0.2">
      <c r="C515" s="167"/>
    </row>
    <row r="516" spans="3:3" ht="12" customHeight="1" x14ac:dyDescent="0.2">
      <c r="C516" s="167"/>
    </row>
    <row r="517" spans="3:3" ht="12" customHeight="1" x14ac:dyDescent="0.2">
      <c r="C517" s="167"/>
    </row>
    <row r="518" spans="3:3" ht="12" customHeight="1" x14ac:dyDescent="0.2">
      <c r="C518" s="167"/>
    </row>
    <row r="519" spans="3:3" ht="12" customHeight="1" x14ac:dyDescent="0.2">
      <c r="C519" s="167"/>
    </row>
    <row r="520" spans="3:3" ht="12" customHeight="1" x14ac:dyDescent="0.2">
      <c r="C520" s="167"/>
    </row>
    <row r="521" spans="3:3" ht="12" customHeight="1" x14ac:dyDescent="0.2">
      <c r="C521" s="167"/>
    </row>
    <row r="522" spans="3:3" ht="12" customHeight="1" x14ac:dyDescent="0.2">
      <c r="C522" s="167"/>
    </row>
    <row r="523" spans="3:3" ht="12" customHeight="1" x14ac:dyDescent="0.2">
      <c r="C523" s="167"/>
    </row>
    <row r="524" spans="3:3" ht="12" customHeight="1" x14ac:dyDescent="0.2">
      <c r="C524" s="167"/>
    </row>
    <row r="525" spans="3:3" ht="12" customHeight="1" x14ac:dyDescent="0.2">
      <c r="C525" s="167"/>
    </row>
    <row r="526" spans="3:3" ht="12" customHeight="1" x14ac:dyDescent="0.2">
      <c r="C526" s="167"/>
    </row>
    <row r="527" spans="3:3" ht="12" customHeight="1" x14ac:dyDescent="0.2">
      <c r="C527" s="167"/>
    </row>
    <row r="528" spans="3:3" ht="12" customHeight="1" x14ac:dyDescent="0.2">
      <c r="C528" s="167"/>
    </row>
    <row r="529" spans="3:3" ht="12" customHeight="1" x14ac:dyDescent="0.2">
      <c r="C529" s="167"/>
    </row>
    <row r="530" spans="3:3" ht="12" customHeight="1" x14ac:dyDescent="0.2">
      <c r="C530" s="167"/>
    </row>
    <row r="531" spans="3:3" ht="12" customHeight="1" x14ac:dyDescent="0.2">
      <c r="C531" s="167"/>
    </row>
    <row r="532" spans="3:3" ht="12" customHeight="1" x14ac:dyDescent="0.2">
      <c r="C532" s="167"/>
    </row>
    <row r="533" spans="3:3" ht="12" customHeight="1" x14ac:dyDescent="0.2">
      <c r="C533" s="167"/>
    </row>
    <row r="534" spans="3:3" ht="12" customHeight="1" x14ac:dyDescent="0.2">
      <c r="C534" s="167"/>
    </row>
    <row r="535" spans="3:3" ht="12" customHeight="1" x14ac:dyDescent="0.2">
      <c r="C535" s="167"/>
    </row>
    <row r="536" spans="3:3" ht="12" customHeight="1" x14ac:dyDescent="0.2">
      <c r="C536" s="167"/>
    </row>
    <row r="537" spans="3:3" ht="12" customHeight="1" x14ac:dyDescent="0.2">
      <c r="C537" s="167"/>
    </row>
    <row r="538" spans="3:3" ht="12" customHeight="1" x14ac:dyDescent="0.2">
      <c r="C538" s="167"/>
    </row>
    <row r="539" spans="3:3" ht="12" customHeight="1" x14ac:dyDescent="0.2">
      <c r="C539" s="167"/>
    </row>
    <row r="540" spans="3:3" ht="12" customHeight="1" x14ac:dyDescent="0.2">
      <c r="C540" s="167"/>
    </row>
    <row r="541" spans="3:3" ht="12" customHeight="1" x14ac:dyDescent="0.2">
      <c r="C541" s="167"/>
    </row>
    <row r="542" spans="3:3" ht="12" customHeight="1" x14ac:dyDescent="0.2">
      <c r="C542" s="167"/>
    </row>
    <row r="543" spans="3:3" ht="12" customHeight="1" x14ac:dyDescent="0.2">
      <c r="C543" s="167"/>
    </row>
    <row r="544" spans="3:3" ht="12" customHeight="1" x14ac:dyDescent="0.2">
      <c r="C544" s="167"/>
    </row>
    <row r="545" spans="3:3" ht="12" customHeight="1" x14ac:dyDescent="0.2">
      <c r="C545" s="167"/>
    </row>
    <row r="546" spans="3:3" ht="12" customHeight="1" x14ac:dyDescent="0.2">
      <c r="C546" s="167"/>
    </row>
    <row r="547" spans="3:3" ht="12" customHeight="1" x14ac:dyDescent="0.2">
      <c r="C547" s="167"/>
    </row>
    <row r="548" spans="3:3" ht="12" customHeight="1" x14ac:dyDescent="0.2">
      <c r="C548" s="167"/>
    </row>
    <row r="549" spans="3:3" ht="12" customHeight="1" x14ac:dyDescent="0.2">
      <c r="C549" s="167"/>
    </row>
    <row r="550" spans="3:3" ht="12" customHeight="1" x14ac:dyDescent="0.2">
      <c r="C550" s="167"/>
    </row>
    <row r="551" spans="3:3" ht="12" customHeight="1" x14ac:dyDescent="0.2">
      <c r="C551" s="167"/>
    </row>
    <row r="552" spans="3:3" ht="12" customHeight="1" x14ac:dyDescent="0.2">
      <c r="C552" s="167"/>
    </row>
    <row r="553" spans="3:3" ht="12" customHeight="1" x14ac:dyDescent="0.2">
      <c r="C553" s="167"/>
    </row>
    <row r="554" spans="3:3" ht="12" customHeight="1" x14ac:dyDescent="0.2">
      <c r="C554" s="167"/>
    </row>
    <row r="555" spans="3:3" ht="12" customHeight="1" x14ac:dyDescent="0.2">
      <c r="C555" s="167"/>
    </row>
    <row r="556" spans="3:3" ht="12" customHeight="1" x14ac:dyDescent="0.2">
      <c r="C556" s="167"/>
    </row>
    <row r="557" spans="3:3" ht="12" customHeight="1" x14ac:dyDescent="0.2">
      <c r="C557" s="167"/>
    </row>
    <row r="558" spans="3:3" ht="12" customHeight="1" x14ac:dyDescent="0.2">
      <c r="C558" s="167"/>
    </row>
    <row r="559" spans="3:3" ht="12" customHeight="1" x14ac:dyDescent="0.2">
      <c r="C559" s="167"/>
    </row>
    <row r="560" spans="3:3" ht="12" customHeight="1" x14ac:dyDescent="0.2">
      <c r="C560" s="167"/>
    </row>
    <row r="561" spans="3:3" ht="12" customHeight="1" x14ac:dyDescent="0.2">
      <c r="C561" s="167"/>
    </row>
    <row r="562" spans="3:3" ht="12" customHeight="1" x14ac:dyDescent="0.2">
      <c r="C562" s="167"/>
    </row>
    <row r="563" spans="3:3" ht="12" customHeight="1" x14ac:dyDescent="0.2">
      <c r="C563" s="167"/>
    </row>
    <row r="564" spans="3:3" ht="12" customHeight="1" x14ac:dyDescent="0.2">
      <c r="C564" s="167"/>
    </row>
    <row r="565" spans="3:3" ht="12" customHeight="1" x14ac:dyDescent="0.2">
      <c r="C565" s="167"/>
    </row>
    <row r="566" spans="3:3" ht="12" customHeight="1" x14ac:dyDescent="0.2">
      <c r="C566" s="167"/>
    </row>
    <row r="567" spans="3:3" ht="12" customHeight="1" x14ac:dyDescent="0.2">
      <c r="C567" s="167"/>
    </row>
    <row r="568" spans="3:3" ht="12" customHeight="1" x14ac:dyDescent="0.2">
      <c r="C568" s="167"/>
    </row>
    <row r="569" spans="3:3" ht="12" customHeight="1" x14ac:dyDescent="0.2">
      <c r="C569" s="167"/>
    </row>
    <row r="570" spans="3:3" ht="12" customHeight="1" x14ac:dyDescent="0.2">
      <c r="C570" s="167"/>
    </row>
    <row r="571" spans="3:3" ht="12" customHeight="1" x14ac:dyDescent="0.2">
      <c r="C571" s="167"/>
    </row>
    <row r="572" spans="3:3" ht="12" customHeight="1" x14ac:dyDescent="0.2">
      <c r="C572" s="167"/>
    </row>
    <row r="573" spans="3:3" ht="12" customHeight="1" x14ac:dyDescent="0.2">
      <c r="C573" s="167"/>
    </row>
    <row r="574" spans="3:3" ht="12" customHeight="1" x14ac:dyDescent="0.2">
      <c r="C574" s="167"/>
    </row>
    <row r="575" spans="3:3" ht="12" customHeight="1" x14ac:dyDescent="0.2">
      <c r="C575" s="167"/>
    </row>
    <row r="576" spans="3:3" ht="12" customHeight="1" x14ac:dyDescent="0.2">
      <c r="C576" s="167"/>
    </row>
    <row r="577" spans="3:3" ht="12" customHeight="1" x14ac:dyDescent="0.2">
      <c r="C577" s="167"/>
    </row>
    <row r="578" spans="3:3" ht="12" customHeight="1" x14ac:dyDescent="0.2">
      <c r="C578" s="167"/>
    </row>
    <row r="579" spans="3:3" ht="12" customHeight="1" x14ac:dyDescent="0.2">
      <c r="C579" s="167"/>
    </row>
    <row r="580" spans="3:3" ht="12" customHeight="1" x14ac:dyDescent="0.2">
      <c r="C580" s="167"/>
    </row>
    <row r="581" spans="3:3" ht="12" customHeight="1" x14ac:dyDescent="0.2">
      <c r="C581" s="167"/>
    </row>
    <row r="582" spans="3:3" ht="12" customHeight="1" x14ac:dyDescent="0.2">
      <c r="C582" s="167"/>
    </row>
    <row r="583" spans="3:3" ht="12" customHeight="1" x14ac:dyDescent="0.2">
      <c r="C583" s="167"/>
    </row>
    <row r="584" spans="3:3" ht="12" customHeight="1" x14ac:dyDescent="0.2">
      <c r="C584" s="167"/>
    </row>
    <row r="585" spans="3:3" ht="12" customHeight="1" x14ac:dyDescent="0.2">
      <c r="C585" s="167"/>
    </row>
    <row r="586" spans="3:3" ht="12" customHeight="1" x14ac:dyDescent="0.2">
      <c r="C586" s="167"/>
    </row>
    <row r="587" spans="3:3" ht="12" customHeight="1" x14ac:dyDescent="0.2">
      <c r="C587" s="167"/>
    </row>
    <row r="588" spans="3:3" ht="12" customHeight="1" x14ac:dyDescent="0.2">
      <c r="C588" s="167"/>
    </row>
    <row r="589" spans="3:3" ht="12" customHeight="1" x14ac:dyDescent="0.2">
      <c r="C589" s="167"/>
    </row>
    <row r="590" spans="3:3" ht="12" customHeight="1" x14ac:dyDescent="0.2">
      <c r="C590" s="167"/>
    </row>
    <row r="591" spans="3:3" ht="12" customHeight="1" x14ac:dyDescent="0.2">
      <c r="C591" s="167"/>
    </row>
    <row r="592" spans="3:3" ht="12" customHeight="1" x14ac:dyDescent="0.2">
      <c r="C592" s="167"/>
    </row>
    <row r="593" spans="3:3" ht="12" customHeight="1" x14ac:dyDescent="0.2">
      <c r="C593" s="167"/>
    </row>
    <row r="594" spans="3:3" ht="12" customHeight="1" x14ac:dyDescent="0.2">
      <c r="C594" s="167"/>
    </row>
    <row r="595" spans="3:3" ht="12" customHeight="1" x14ac:dyDescent="0.2">
      <c r="C595" s="167"/>
    </row>
    <row r="596" spans="3:3" ht="12" customHeight="1" x14ac:dyDescent="0.2">
      <c r="C596" s="167"/>
    </row>
    <row r="597" spans="3:3" ht="12" customHeight="1" x14ac:dyDescent="0.2">
      <c r="C597" s="167"/>
    </row>
    <row r="598" spans="3:3" ht="12" customHeight="1" x14ac:dyDescent="0.2">
      <c r="C598" s="167"/>
    </row>
    <row r="599" spans="3:3" ht="12" customHeight="1" x14ac:dyDescent="0.2">
      <c r="C599" s="167"/>
    </row>
    <row r="600" spans="3:3" ht="12" customHeight="1" x14ac:dyDescent="0.2">
      <c r="C600" s="167"/>
    </row>
    <row r="601" spans="3:3" ht="12" customHeight="1" x14ac:dyDescent="0.2">
      <c r="C601" s="167"/>
    </row>
    <row r="602" spans="3:3" ht="12" customHeight="1" x14ac:dyDescent="0.2">
      <c r="C602" s="167"/>
    </row>
    <row r="603" spans="3:3" ht="12" customHeight="1" x14ac:dyDescent="0.2">
      <c r="C603" s="167"/>
    </row>
    <row r="604" spans="3:3" ht="12" customHeight="1" x14ac:dyDescent="0.2">
      <c r="C604" s="167"/>
    </row>
    <row r="605" spans="3:3" ht="12" customHeight="1" x14ac:dyDescent="0.2">
      <c r="C605" s="167"/>
    </row>
    <row r="606" spans="3:3" ht="12" customHeight="1" x14ac:dyDescent="0.2">
      <c r="C606" s="167"/>
    </row>
    <row r="607" spans="3:3" ht="12" customHeight="1" x14ac:dyDescent="0.2">
      <c r="C607" s="167"/>
    </row>
    <row r="608" spans="3:3" ht="12" customHeight="1" x14ac:dyDescent="0.2">
      <c r="C608" s="167"/>
    </row>
    <row r="609" spans="3:3" ht="12" customHeight="1" x14ac:dyDescent="0.2">
      <c r="C609" s="167"/>
    </row>
    <row r="610" spans="3:3" ht="12" customHeight="1" x14ac:dyDescent="0.2">
      <c r="C610" s="167"/>
    </row>
    <row r="611" spans="3:3" ht="12" customHeight="1" x14ac:dyDescent="0.2">
      <c r="C611" s="167"/>
    </row>
    <row r="612" spans="3:3" ht="12" customHeight="1" x14ac:dyDescent="0.2">
      <c r="C612" s="167"/>
    </row>
    <row r="613" spans="3:3" ht="12" customHeight="1" x14ac:dyDescent="0.2">
      <c r="C613" s="167"/>
    </row>
    <row r="614" spans="3:3" ht="12" customHeight="1" x14ac:dyDescent="0.2">
      <c r="C614" s="167"/>
    </row>
    <row r="615" spans="3:3" ht="12" customHeight="1" x14ac:dyDescent="0.2">
      <c r="C615" s="167"/>
    </row>
    <row r="616" spans="3:3" ht="12" customHeight="1" x14ac:dyDescent="0.2">
      <c r="C616" s="167"/>
    </row>
    <row r="617" spans="3:3" ht="12" customHeight="1" x14ac:dyDescent="0.2">
      <c r="C617" s="167"/>
    </row>
    <row r="618" spans="3:3" ht="12" customHeight="1" x14ac:dyDescent="0.2">
      <c r="C618" s="167"/>
    </row>
    <row r="619" spans="3:3" ht="12" customHeight="1" x14ac:dyDescent="0.2">
      <c r="C619" s="167"/>
    </row>
    <row r="620" spans="3:3" ht="12" customHeight="1" x14ac:dyDescent="0.2">
      <c r="C620" s="167"/>
    </row>
    <row r="621" spans="3:3" ht="12" customHeight="1" x14ac:dyDescent="0.2">
      <c r="C621" s="167"/>
    </row>
    <row r="622" spans="3:3" ht="12" customHeight="1" x14ac:dyDescent="0.2">
      <c r="C622" s="167"/>
    </row>
    <row r="623" spans="3:3" ht="12" customHeight="1" x14ac:dyDescent="0.2">
      <c r="C623" s="167"/>
    </row>
    <row r="624" spans="3:3" ht="12" customHeight="1" x14ac:dyDescent="0.2">
      <c r="C624" s="167"/>
    </row>
    <row r="625" spans="3:3" ht="12" customHeight="1" x14ac:dyDescent="0.2">
      <c r="C625" s="167"/>
    </row>
    <row r="626" spans="3:3" ht="12" customHeight="1" x14ac:dyDescent="0.2">
      <c r="C626" s="167"/>
    </row>
    <row r="627" spans="3:3" ht="12" customHeight="1" x14ac:dyDescent="0.2">
      <c r="C627" s="167"/>
    </row>
    <row r="628" spans="3:3" ht="12" customHeight="1" x14ac:dyDescent="0.2">
      <c r="C628" s="167"/>
    </row>
    <row r="629" spans="3:3" ht="12" customHeight="1" x14ac:dyDescent="0.2">
      <c r="C629" s="167"/>
    </row>
    <row r="630" spans="3:3" ht="12" customHeight="1" x14ac:dyDescent="0.2">
      <c r="C630" s="167"/>
    </row>
    <row r="631" spans="3:3" ht="12" customHeight="1" x14ac:dyDescent="0.2">
      <c r="C631" s="167"/>
    </row>
    <row r="632" spans="3:3" ht="12" customHeight="1" x14ac:dyDescent="0.2">
      <c r="C632" s="167"/>
    </row>
    <row r="633" spans="3:3" ht="12" customHeight="1" x14ac:dyDescent="0.2">
      <c r="C633" s="167"/>
    </row>
    <row r="634" spans="3:3" ht="12" customHeight="1" x14ac:dyDescent="0.2">
      <c r="C634" s="167"/>
    </row>
    <row r="635" spans="3:3" ht="12" customHeight="1" x14ac:dyDescent="0.2">
      <c r="C635" s="167"/>
    </row>
    <row r="636" spans="3:3" ht="12" customHeight="1" x14ac:dyDescent="0.2">
      <c r="C636" s="167"/>
    </row>
    <row r="637" spans="3:3" ht="12" customHeight="1" x14ac:dyDescent="0.2">
      <c r="C637" s="167"/>
    </row>
    <row r="638" spans="3:3" ht="12" customHeight="1" x14ac:dyDescent="0.2">
      <c r="C638" s="167"/>
    </row>
    <row r="639" spans="3:3" ht="12" customHeight="1" x14ac:dyDescent="0.2">
      <c r="C639" s="167"/>
    </row>
    <row r="640" spans="3:3" ht="12" customHeight="1" x14ac:dyDescent="0.2">
      <c r="C640" s="167"/>
    </row>
    <row r="641" spans="3:3" ht="12" customHeight="1" x14ac:dyDescent="0.2">
      <c r="C641" s="167"/>
    </row>
    <row r="642" spans="3:3" ht="12" customHeight="1" x14ac:dyDescent="0.2">
      <c r="C642" s="167"/>
    </row>
    <row r="643" spans="3:3" ht="12" customHeight="1" x14ac:dyDescent="0.2">
      <c r="C643" s="167"/>
    </row>
    <row r="644" spans="3:3" ht="12" customHeight="1" x14ac:dyDescent="0.2">
      <c r="C644" s="167"/>
    </row>
    <row r="645" spans="3:3" ht="12" customHeight="1" x14ac:dyDescent="0.2">
      <c r="C645" s="167"/>
    </row>
    <row r="646" spans="3:3" ht="12" customHeight="1" x14ac:dyDescent="0.2">
      <c r="C646" s="167"/>
    </row>
    <row r="647" spans="3:3" ht="12" customHeight="1" x14ac:dyDescent="0.2">
      <c r="C647" s="167"/>
    </row>
    <row r="648" spans="3:3" ht="12" customHeight="1" x14ac:dyDescent="0.2">
      <c r="C648" s="167"/>
    </row>
    <row r="649" spans="3:3" ht="12" customHeight="1" x14ac:dyDescent="0.2">
      <c r="C649" s="167"/>
    </row>
    <row r="650" spans="3:3" ht="12" customHeight="1" x14ac:dyDescent="0.2">
      <c r="C650" s="167"/>
    </row>
    <row r="651" spans="3:3" ht="12" customHeight="1" x14ac:dyDescent="0.2">
      <c r="C651" s="167"/>
    </row>
    <row r="652" spans="3:3" ht="12" customHeight="1" x14ac:dyDescent="0.2">
      <c r="C652" s="167"/>
    </row>
    <row r="653" spans="3:3" ht="12" customHeight="1" x14ac:dyDescent="0.2">
      <c r="C653" s="167"/>
    </row>
    <row r="654" spans="3:3" ht="12" customHeight="1" x14ac:dyDescent="0.2">
      <c r="C654" s="167"/>
    </row>
    <row r="655" spans="3:3" ht="12" customHeight="1" x14ac:dyDescent="0.2">
      <c r="C655" s="167"/>
    </row>
    <row r="656" spans="3:3" ht="12" customHeight="1" x14ac:dyDescent="0.2">
      <c r="C656" s="167"/>
    </row>
    <row r="657" spans="3:3" ht="12" customHeight="1" x14ac:dyDescent="0.2">
      <c r="C657" s="167"/>
    </row>
    <row r="658" spans="3:3" ht="12" customHeight="1" x14ac:dyDescent="0.2">
      <c r="C658" s="167"/>
    </row>
    <row r="659" spans="3:3" ht="12" customHeight="1" x14ac:dyDescent="0.2">
      <c r="C659" s="167"/>
    </row>
    <row r="660" spans="3:3" ht="12" customHeight="1" x14ac:dyDescent="0.2">
      <c r="C660" s="167"/>
    </row>
    <row r="661" spans="3:3" ht="12" customHeight="1" x14ac:dyDescent="0.2">
      <c r="C661" s="167"/>
    </row>
    <row r="662" spans="3:3" ht="12" customHeight="1" x14ac:dyDescent="0.2">
      <c r="C662" s="167"/>
    </row>
    <row r="663" spans="3:3" ht="12" customHeight="1" x14ac:dyDescent="0.2">
      <c r="C663" s="167"/>
    </row>
    <row r="664" spans="3:3" ht="12" customHeight="1" x14ac:dyDescent="0.2">
      <c r="C664" s="167"/>
    </row>
    <row r="665" spans="3:3" ht="12" customHeight="1" x14ac:dyDescent="0.2">
      <c r="C665" s="167"/>
    </row>
    <row r="666" spans="3:3" ht="12" customHeight="1" x14ac:dyDescent="0.2">
      <c r="C666" s="167"/>
    </row>
    <row r="667" spans="3:3" ht="12" customHeight="1" x14ac:dyDescent="0.2">
      <c r="C667" s="167"/>
    </row>
    <row r="668" spans="3:3" ht="12" customHeight="1" x14ac:dyDescent="0.2">
      <c r="C668" s="167"/>
    </row>
    <row r="669" spans="3:3" ht="12" customHeight="1" x14ac:dyDescent="0.2">
      <c r="C669" s="167"/>
    </row>
    <row r="670" spans="3:3" ht="12" customHeight="1" x14ac:dyDescent="0.2">
      <c r="C670" s="167"/>
    </row>
    <row r="671" spans="3:3" ht="12" customHeight="1" x14ac:dyDescent="0.2">
      <c r="C671" s="167"/>
    </row>
    <row r="672" spans="3:3" ht="12" customHeight="1" x14ac:dyDescent="0.2">
      <c r="C672" s="167"/>
    </row>
    <row r="673" spans="3:3" ht="12" customHeight="1" x14ac:dyDescent="0.2">
      <c r="C673" s="167"/>
    </row>
    <row r="674" spans="3:3" ht="12" customHeight="1" x14ac:dyDescent="0.2">
      <c r="C674" s="167"/>
    </row>
    <row r="675" spans="3:3" ht="12" customHeight="1" x14ac:dyDescent="0.2">
      <c r="C675" s="167"/>
    </row>
    <row r="676" spans="3:3" ht="12" customHeight="1" x14ac:dyDescent="0.2">
      <c r="C676" s="167"/>
    </row>
    <row r="677" spans="3:3" ht="12" customHeight="1" x14ac:dyDescent="0.2">
      <c r="C677" s="167"/>
    </row>
    <row r="678" spans="3:3" ht="12" customHeight="1" x14ac:dyDescent="0.2">
      <c r="C678" s="167"/>
    </row>
    <row r="679" spans="3:3" ht="12" customHeight="1" x14ac:dyDescent="0.2">
      <c r="C679" s="167"/>
    </row>
    <row r="680" spans="3:3" ht="12" customHeight="1" x14ac:dyDescent="0.2">
      <c r="C680" s="167"/>
    </row>
    <row r="681" spans="3:3" ht="12" customHeight="1" x14ac:dyDescent="0.2">
      <c r="C681" s="167"/>
    </row>
    <row r="682" spans="3:3" ht="12" customHeight="1" x14ac:dyDescent="0.2">
      <c r="C682" s="167"/>
    </row>
    <row r="683" spans="3:3" ht="12" customHeight="1" x14ac:dyDescent="0.2">
      <c r="C683" s="167"/>
    </row>
    <row r="684" spans="3:3" ht="12" customHeight="1" x14ac:dyDescent="0.2">
      <c r="C684" s="167"/>
    </row>
    <row r="685" spans="3:3" ht="12" customHeight="1" x14ac:dyDescent="0.2">
      <c r="C685" s="167"/>
    </row>
    <row r="686" spans="3:3" ht="12" customHeight="1" x14ac:dyDescent="0.2">
      <c r="C686" s="167"/>
    </row>
    <row r="687" spans="3:3" ht="12" customHeight="1" x14ac:dyDescent="0.2">
      <c r="C687" s="167"/>
    </row>
    <row r="688" spans="3:3" ht="12" customHeight="1" x14ac:dyDescent="0.2">
      <c r="C688" s="167"/>
    </row>
    <row r="689" spans="3:3" ht="12" customHeight="1" x14ac:dyDescent="0.2">
      <c r="C689" s="167"/>
    </row>
    <row r="690" spans="3:3" ht="12" customHeight="1" x14ac:dyDescent="0.2">
      <c r="C690" s="167"/>
    </row>
    <row r="691" spans="3:3" ht="12" customHeight="1" x14ac:dyDescent="0.2">
      <c r="C691" s="167"/>
    </row>
    <row r="692" spans="3:3" ht="12" customHeight="1" x14ac:dyDescent="0.2">
      <c r="C692" s="167"/>
    </row>
    <row r="693" spans="3:3" ht="12" customHeight="1" x14ac:dyDescent="0.2">
      <c r="C693" s="167"/>
    </row>
    <row r="694" spans="3:3" ht="12" customHeight="1" x14ac:dyDescent="0.2">
      <c r="C694" s="167"/>
    </row>
    <row r="695" spans="3:3" ht="12" customHeight="1" x14ac:dyDescent="0.2">
      <c r="C695" s="167"/>
    </row>
    <row r="696" spans="3:3" ht="12" customHeight="1" x14ac:dyDescent="0.2">
      <c r="C696" s="167"/>
    </row>
    <row r="697" spans="3:3" ht="12" customHeight="1" x14ac:dyDescent="0.2">
      <c r="C697" s="167"/>
    </row>
    <row r="698" spans="3:3" ht="12" customHeight="1" x14ac:dyDescent="0.2">
      <c r="C698" s="167"/>
    </row>
    <row r="699" spans="3:3" ht="12" customHeight="1" x14ac:dyDescent="0.2">
      <c r="C699" s="167"/>
    </row>
    <row r="700" spans="3:3" ht="12" customHeight="1" x14ac:dyDescent="0.2">
      <c r="C700" s="167"/>
    </row>
    <row r="701" spans="3:3" ht="12" customHeight="1" x14ac:dyDescent="0.2">
      <c r="C701" s="167"/>
    </row>
    <row r="702" spans="3:3" ht="12" customHeight="1" x14ac:dyDescent="0.2">
      <c r="C702" s="167"/>
    </row>
    <row r="703" spans="3:3" ht="12" customHeight="1" x14ac:dyDescent="0.2">
      <c r="C703" s="167"/>
    </row>
    <row r="704" spans="3:3" ht="12" customHeight="1" x14ac:dyDescent="0.2">
      <c r="C704" s="167"/>
    </row>
    <row r="705" spans="3:3" ht="12" customHeight="1" x14ac:dyDescent="0.2">
      <c r="C705" s="167"/>
    </row>
    <row r="706" spans="3:3" ht="12" customHeight="1" x14ac:dyDescent="0.2">
      <c r="C706" s="167"/>
    </row>
    <row r="707" spans="3:3" ht="12" customHeight="1" x14ac:dyDescent="0.2">
      <c r="C707" s="167"/>
    </row>
    <row r="708" spans="3:3" ht="12" customHeight="1" x14ac:dyDescent="0.2">
      <c r="C708" s="167"/>
    </row>
    <row r="709" spans="3:3" ht="12" customHeight="1" x14ac:dyDescent="0.2">
      <c r="C709" s="167"/>
    </row>
    <row r="710" spans="3:3" ht="12" customHeight="1" x14ac:dyDescent="0.2">
      <c r="C710" s="167"/>
    </row>
    <row r="711" spans="3:3" ht="12" customHeight="1" x14ac:dyDescent="0.2">
      <c r="C711" s="167"/>
    </row>
    <row r="712" spans="3:3" ht="12" customHeight="1" x14ac:dyDescent="0.2">
      <c r="C712" s="167"/>
    </row>
    <row r="713" spans="3:3" ht="12" customHeight="1" x14ac:dyDescent="0.2">
      <c r="C713" s="167"/>
    </row>
    <row r="714" spans="3:3" ht="12" customHeight="1" x14ac:dyDescent="0.2">
      <c r="C714" s="167"/>
    </row>
    <row r="715" spans="3:3" ht="12" customHeight="1" x14ac:dyDescent="0.2">
      <c r="C715" s="167"/>
    </row>
    <row r="716" spans="3:3" ht="12" customHeight="1" x14ac:dyDescent="0.2">
      <c r="C716" s="167"/>
    </row>
    <row r="717" spans="3:3" ht="12" customHeight="1" x14ac:dyDescent="0.2">
      <c r="C717" s="167"/>
    </row>
    <row r="718" spans="3:3" ht="12" customHeight="1" x14ac:dyDescent="0.2">
      <c r="C718" s="167"/>
    </row>
    <row r="719" spans="3:3" ht="12" customHeight="1" x14ac:dyDescent="0.2">
      <c r="C719" s="167"/>
    </row>
    <row r="720" spans="3:3" ht="12" customHeight="1" x14ac:dyDescent="0.2">
      <c r="C720" s="167"/>
    </row>
    <row r="721" spans="3:3" ht="12" customHeight="1" x14ac:dyDescent="0.2">
      <c r="C721" s="167"/>
    </row>
    <row r="722" spans="3:3" ht="12" customHeight="1" x14ac:dyDescent="0.2">
      <c r="C722" s="167"/>
    </row>
    <row r="723" spans="3:3" ht="12" customHeight="1" x14ac:dyDescent="0.2">
      <c r="C723" s="167"/>
    </row>
    <row r="724" spans="3:3" ht="12" customHeight="1" x14ac:dyDescent="0.2">
      <c r="C724" s="167"/>
    </row>
    <row r="725" spans="3:3" ht="12" customHeight="1" x14ac:dyDescent="0.2">
      <c r="C725" s="167"/>
    </row>
    <row r="726" spans="3:3" ht="12" customHeight="1" x14ac:dyDescent="0.2">
      <c r="C726" s="167"/>
    </row>
    <row r="727" spans="3:3" ht="12" customHeight="1" x14ac:dyDescent="0.2">
      <c r="C727" s="167"/>
    </row>
    <row r="728" spans="3:3" ht="12" customHeight="1" x14ac:dyDescent="0.2">
      <c r="C728" s="167"/>
    </row>
    <row r="729" spans="3:3" ht="12" customHeight="1" x14ac:dyDescent="0.2">
      <c r="C729" s="167"/>
    </row>
    <row r="730" spans="3:3" ht="12" customHeight="1" x14ac:dyDescent="0.2">
      <c r="C730" s="167"/>
    </row>
    <row r="731" spans="3:3" ht="12" customHeight="1" x14ac:dyDescent="0.2">
      <c r="C731" s="167"/>
    </row>
    <row r="732" spans="3:3" ht="12" customHeight="1" x14ac:dyDescent="0.2">
      <c r="C732" s="167"/>
    </row>
    <row r="733" spans="3:3" ht="12" customHeight="1" x14ac:dyDescent="0.2">
      <c r="C733" s="167"/>
    </row>
    <row r="734" spans="3:3" ht="12" customHeight="1" x14ac:dyDescent="0.2">
      <c r="C734" s="167"/>
    </row>
    <row r="735" spans="3:3" ht="12" customHeight="1" x14ac:dyDescent="0.2">
      <c r="C735" s="167"/>
    </row>
    <row r="736" spans="3:3" ht="12" customHeight="1" x14ac:dyDescent="0.2">
      <c r="C736" s="167"/>
    </row>
    <row r="737" spans="3:3" ht="12" customHeight="1" x14ac:dyDescent="0.2">
      <c r="C737" s="167"/>
    </row>
    <row r="738" spans="3:3" ht="12" customHeight="1" x14ac:dyDescent="0.2">
      <c r="C738" s="167"/>
    </row>
    <row r="739" spans="3:3" ht="12" customHeight="1" x14ac:dyDescent="0.2">
      <c r="C739" s="167"/>
    </row>
    <row r="740" spans="3:3" ht="12" customHeight="1" x14ac:dyDescent="0.2">
      <c r="C740" s="167"/>
    </row>
    <row r="741" spans="3:3" ht="12" customHeight="1" x14ac:dyDescent="0.2">
      <c r="C741" s="167"/>
    </row>
    <row r="742" spans="3:3" ht="12" customHeight="1" x14ac:dyDescent="0.2">
      <c r="C742" s="167"/>
    </row>
    <row r="743" spans="3:3" ht="12" customHeight="1" x14ac:dyDescent="0.2">
      <c r="C743" s="167"/>
    </row>
    <row r="744" spans="3:3" ht="12" customHeight="1" x14ac:dyDescent="0.2">
      <c r="C744" s="167"/>
    </row>
    <row r="745" spans="3:3" ht="12" customHeight="1" x14ac:dyDescent="0.2">
      <c r="C745" s="167"/>
    </row>
    <row r="746" spans="3:3" ht="12" customHeight="1" x14ac:dyDescent="0.2">
      <c r="C746" s="167"/>
    </row>
    <row r="747" spans="3:3" ht="12" customHeight="1" x14ac:dyDescent="0.2">
      <c r="C747" s="167"/>
    </row>
    <row r="748" spans="3:3" ht="12" customHeight="1" x14ac:dyDescent="0.2">
      <c r="C748" s="167"/>
    </row>
    <row r="749" spans="3:3" ht="12" customHeight="1" x14ac:dyDescent="0.2">
      <c r="C749" s="167"/>
    </row>
    <row r="750" spans="3:3" ht="12" customHeight="1" x14ac:dyDescent="0.2">
      <c r="C750" s="167"/>
    </row>
    <row r="751" spans="3:3" ht="12" customHeight="1" x14ac:dyDescent="0.2">
      <c r="C751" s="167"/>
    </row>
    <row r="752" spans="3:3" ht="12" customHeight="1" x14ac:dyDescent="0.2">
      <c r="C752" s="167"/>
    </row>
    <row r="753" spans="3:3" ht="12" customHeight="1" x14ac:dyDescent="0.2">
      <c r="C753" s="167"/>
    </row>
    <row r="754" spans="3:3" ht="12" customHeight="1" x14ac:dyDescent="0.2">
      <c r="C754" s="167"/>
    </row>
    <row r="755" spans="3:3" ht="12" customHeight="1" x14ac:dyDescent="0.2">
      <c r="C755" s="167"/>
    </row>
    <row r="756" spans="3:3" ht="12" customHeight="1" x14ac:dyDescent="0.2">
      <c r="C756" s="167"/>
    </row>
    <row r="757" spans="3:3" ht="12" customHeight="1" x14ac:dyDescent="0.2">
      <c r="C757" s="167"/>
    </row>
    <row r="758" spans="3:3" ht="12" customHeight="1" x14ac:dyDescent="0.2">
      <c r="C758" s="167"/>
    </row>
    <row r="759" spans="3:3" ht="12" customHeight="1" x14ac:dyDescent="0.2">
      <c r="C759" s="167"/>
    </row>
    <row r="760" spans="3:3" ht="12" customHeight="1" x14ac:dyDescent="0.2">
      <c r="C760" s="167"/>
    </row>
    <row r="761" spans="3:3" ht="12" customHeight="1" x14ac:dyDescent="0.2">
      <c r="C761" s="167"/>
    </row>
    <row r="762" spans="3:3" ht="12" customHeight="1" x14ac:dyDescent="0.2">
      <c r="C762" s="167"/>
    </row>
    <row r="763" spans="3:3" ht="12" customHeight="1" x14ac:dyDescent="0.2">
      <c r="C763" s="167"/>
    </row>
    <row r="764" spans="3:3" ht="12" customHeight="1" x14ac:dyDescent="0.2">
      <c r="C764" s="167"/>
    </row>
    <row r="765" spans="3:3" ht="12" customHeight="1" x14ac:dyDescent="0.2">
      <c r="C765" s="167"/>
    </row>
    <row r="766" spans="3:3" ht="12" customHeight="1" x14ac:dyDescent="0.2">
      <c r="C766" s="167"/>
    </row>
    <row r="767" spans="3:3" ht="12" customHeight="1" x14ac:dyDescent="0.2">
      <c r="C767" s="167"/>
    </row>
    <row r="768" spans="3:3" ht="12" customHeight="1" x14ac:dyDescent="0.2">
      <c r="C768" s="167"/>
    </row>
    <row r="769" spans="3:3" ht="12" customHeight="1" x14ac:dyDescent="0.2">
      <c r="C769" s="167"/>
    </row>
    <row r="770" spans="3:3" ht="12" customHeight="1" x14ac:dyDescent="0.2">
      <c r="C770" s="167"/>
    </row>
    <row r="771" spans="3:3" ht="12" customHeight="1" x14ac:dyDescent="0.2">
      <c r="C771" s="167"/>
    </row>
    <row r="772" spans="3:3" ht="12" customHeight="1" x14ac:dyDescent="0.2">
      <c r="C772" s="167"/>
    </row>
    <row r="773" spans="3:3" ht="12" customHeight="1" x14ac:dyDescent="0.2">
      <c r="C773" s="167"/>
    </row>
    <row r="774" spans="3:3" ht="12" customHeight="1" x14ac:dyDescent="0.2">
      <c r="C774" s="167"/>
    </row>
    <row r="775" spans="3:3" ht="12" customHeight="1" x14ac:dyDescent="0.2">
      <c r="C775" s="167"/>
    </row>
    <row r="776" spans="3:3" ht="12" customHeight="1" x14ac:dyDescent="0.2">
      <c r="C776" s="167"/>
    </row>
    <row r="777" spans="3:3" ht="12" customHeight="1" x14ac:dyDescent="0.2">
      <c r="C777" s="167"/>
    </row>
    <row r="778" spans="3:3" ht="12" customHeight="1" x14ac:dyDescent="0.2">
      <c r="C778" s="167"/>
    </row>
    <row r="779" spans="3:3" ht="12" customHeight="1" x14ac:dyDescent="0.2">
      <c r="C779" s="167"/>
    </row>
    <row r="780" spans="3:3" ht="12" customHeight="1" x14ac:dyDescent="0.2">
      <c r="C780" s="167"/>
    </row>
    <row r="781" spans="3:3" ht="12" customHeight="1" x14ac:dyDescent="0.2">
      <c r="C781" s="167"/>
    </row>
    <row r="782" spans="3:3" ht="12" customHeight="1" x14ac:dyDescent="0.2">
      <c r="C782" s="167"/>
    </row>
    <row r="783" spans="3:3" ht="12" customHeight="1" x14ac:dyDescent="0.2">
      <c r="C783" s="167"/>
    </row>
    <row r="784" spans="3:3" ht="12" customHeight="1" x14ac:dyDescent="0.2">
      <c r="C784" s="167"/>
    </row>
    <row r="785" spans="3:3" ht="12" customHeight="1" x14ac:dyDescent="0.2">
      <c r="C785" s="167"/>
    </row>
    <row r="786" spans="3:3" ht="12" customHeight="1" x14ac:dyDescent="0.2">
      <c r="C786" s="167"/>
    </row>
    <row r="787" spans="3:3" ht="12" customHeight="1" x14ac:dyDescent="0.2">
      <c r="C787" s="167"/>
    </row>
    <row r="788" spans="3:3" ht="12" customHeight="1" x14ac:dyDescent="0.2">
      <c r="C788" s="167"/>
    </row>
    <row r="789" spans="3:3" ht="12" customHeight="1" x14ac:dyDescent="0.2">
      <c r="C789" s="167"/>
    </row>
    <row r="790" spans="3:3" ht="12" customHeight="1" x14ac:dyDescent="0.2">
      <c r="C790" s="167"/>
    </row>
    <row r="791" spans="3:3" ht="12" customHeight="1" x14ac:dyDescent="0.2">
      <c r="C791" s="167"/>
    </row>
    <row r="792" spans="3:3" ht="12" customHeight="1" x14ac:dyDescent="0.2">
      <c r="C792" s="167"/>
    </row>
    <row r="793" spans="3:3" ht="12" customHeight="1" x14ac:dyDescent="0.2">
      <c r="C793" s="167"/>
    </row>
    <row r="794" spans="3:3" ht="12" customHeight="1" x14ac:dyDescent="0.2">
      <c r="C794" s="167"/>
    </row>
    <row r="795" spans="3:3" ht="12" customHeight="1" x14ac:dyDescent="0.2">
      <c r="C795" s="167"/>
    </row>
    <row r="796" spans="3:3" ht="12" customHeight="1" x14ac:dyDescent="0.2">
      <c r="C796" s="167"/>
    </row>
    <row r="797" spans="3:3" ht="12" customHeight="1" x14ac:dyDescent="0.2">
      <c r="C797" s="167"/>
    </row>
    <row r="798" spans="3:3" ht="12" customHeight="1" x14ac:dyDescent="0.2">
      <c r="C798" s="167"/>
    </row>
    <row r="799" spans="3:3" ht="12" customHeight="1" x14ac:dyDescent="0.2">
      <c r="C799" s="167"/>
    </row>
    <row r="800" spans="3:3" ht="12" customHeight="1" x14ac:dyDescent="0.2">
      <c r="C800" s="167"/>
    </row>
    <row r="801" spans="3:3" ht="12" customHeight="1" x14ac:dyDescent="0.2">
      <c r="C801" s="167"/>
    </row>
    <row r="802" spans="3:3" ht="12" customHeight="1" x14ac:dyDescent="0.2">
      <c r="C802" s="167"/>
    </row>
    <row r="803" spans="3:3" ht="12" customHeight="1" x14ac:dyDescent="0.2">
      <c r="C803" s="167"/>
    </row>
    <row r="804" spans="3:3" ht="12" customHeight="1" x14ac:dyDescent="0.2">
      <c r="C804" s="167"/>
    </row>
    <row r="805" spans="3:3" ht="12" customHeight="1" x14ac:dyDescent="0.2">
      <c r="C805" s="167"/>
    </row>
    <row r="806" spans="3:3" ht="12" customHeight="1" x14ac:dyDescent="0.2">
      <c r="C806" s="167"/>
    </row>
    <row r="807" spans="3:3" ht="12" customHeight="1" x14ac:dyDescent="0.2">
      <c r="C807" s="167"/>
    </row>
    <row r="808" spans="3:3" ht="12" customHeight="1" x14ac:dyDescent="0.2">
      <c r="C808" s="167"/>
    </row>
    <row r="809" spans="3:3" ht="12" customHeight="1" x14ac:dyDescent="0.2">
      <c r="C809" s="167"/>
    </row>
    <row r="810" spans="3:3" ht="12" customHeight="1" x14ac:dyDescent="0.2">
      <c r="C810" s="167"/>
    </row>
    <row r="811" spans="3:3" ht="12" customHeight="1" x14ac:dyDescent="0.2">
      <c r="C811" s="167"/>
    </row>
    <row r="812" spans="3:3" ht="12" customHeight="1" x14ac:dyDescent="0.2">
      <c r="C812" s="167"/>
    </row>
    <row r="813" spans="3:3" ht="12" customHeight="1" x14ac:dyDescent="0.2">
      <c r="C813" s="167"/>
    </row>
    <row r="814" spans="3:3" ht="12" customHeight="1" x14ac:dyDescent="0.2">
      <c r="C814" s="167"/>
    </row>
    <row r="815" spans="3:3" ht="12" customHeight="1" x14ac:dyDescent="0.2">
      <c r="C815" s="167"/>
    </row>
    <row r="816" spans="3:3" ht="12" customHeight="1" x14ac:dyDescent="0.2">
      <c r="C816" s="167"/>
    </row>
    <row r="817" spans="3:3" ht="12" customHeight="1" x14ac:dyDescent="0.2">
      <c r="C817" s="167"/>
    </row>
    <row r="818" spans="3:3" ht="12" customHeight="1" x14ac:dyDescent="0.2">
      <c r="C818" s="167"/>
    </row>
    <row r="819" spans="3:3" ht="12" customHeight="1" x14ac:dyDescent="0.2">
      <c r="C819" s="167"/>
    </row>
    <row r="820" spans="3:3" ht="12" customHeight="1" x14ac:dyDescent="0.2">
      <c r="C820" s="167"/>
    </row>
    <row r="821" spans="3:3" ht="12" customHeight="1" x14ac:dyDescent="0.2">
      <c r="C821" s="167"/>
    </row>
    <row r="822" spans="3:3" ht="12" customHeight="1" x14ac:dyDescent="0.2">
      <c r="C822" s="167"/>
    </row>
    <row r="823" spans="3:3" ht="12" customHeight="1" x14ac:dyDescent="0.2">
      <c r="C823" s="167"/>
    </row>
    <row r="824" spans="3:3" ht="12" customHeight="1" x14ac:dyDescent="0.2">
      <c r="C824" s="167"/>
    </row>
    <row r="825" spans="3:3" ht="12" customHeight="1" x14ac:dyDescent="0.2">
      <c r="C825" s="167"/>
    </row>
    <row r="826" spans="3:3" ht="12" customHeight="1" x14ac:dyDescent="0.2">
      <c r="C826" s="167"/>
    </row>
    <row r="827" spans="3:3" ht="12" customHeight="1" x14ac:dyDescent="0.2">
      <c r="C827" s="167"/>
    </row>
    <row r="828" spans="3:3" ht="12" customHeight="1" x14ac:dyDescent="0.2">
      <c r="C828" s="167"/>
    </row>
    <row r="829" spans="3:3" ht="12" customHeight="1" x14ac:dyDescent="0.2">
      <c r="C829" s="167"/>
    </row>
    <row r="830" spans="3:3" ht="12" customHeight="1" x14ac:dyDescent="0.2">
      <c r="C830" s="167"/>
    </row>
    <row r="831" spans="3:3" ht="12" customHeight="1" x14ac:dyDescent="0.2">
      <c r="C831" s="167"/>
    </row>
    <row r="832" spans="3:3" ht="12" customHeight="1" x14ac:dyDescent="0.2">
      <c r="C832" s="167"/>
    </row>
    <row r="833" spans="3:3" ht="12" customHeight="1" x14ac:dyDescent="0.2">
      <c r="C833" s="167"/>
    </row>
    <row r="834" spans="3:3" ht="12" customHeight="1" x14ac:dyDescent="0.2">
      <c r="C834" s="167"/>
    </row>
    <row r="835" spans="3:3" ht="12" customHeight="1" x14ac:dyDescent="0.2">
      <c r="C835" s="167"/>
    </row>
    <row r="836" spans="3:3" ht="12" customHeight="1" x14ac:dyDescent="0.2">
      <c r="C836" s="167"/>
    </row>
    <row r="837" spans="3:3" ht="12" customHeight="1" x14ac:dyDescent="0.2">
      <c r="C837" s="167"/>
    </row>
    <row r="838" spans="3:3" ht="12" customHeight="1" x14ac:dyDescent="0.2">
      <c r="C838" s="167"/>
    </row>
    <row r="839" spans="3:3" ht="12" customHeight="1" x14ac:dyDescent="0.2">
      <c r="C839" s="167"/>
    </row>
    <row r="840" spans="3:3" ht="12" customHeight="1" x14ac:dyDescent="0.2">
      <c r="C840" s="167"/>
    </row>
    <row r="841" spans="3:3" ht="12" customHeight="1" x14ac:dyDescent="0.2">
      <c r="C841" s="167"/>
    </row>
    <row r="842" spans="3:3" ht="12" customHeight="1" x14ac:dyDescent="0.2">
      <c r="C842" s="167"/>
    </row>
    <row r="843" spans="3:3" ht="12" customHeight="1" x14ac:dyDescent="0.2">
      <c r="C843" s="167"/>
    </row>
    <row r="844" spans="3:3" ht="12" customHeight="1" x14ac:dyDescent="0.2">
      <c r="C844" s="167"/>
    </row>
    <row r="845" spans="3:3" ht="12" customHeight="1" x14ac:dyDescent="0.2">
      <c r="C845" s="167"/>
    </row>
    <row r="846" spans="3:3" ht="12" customHeight="1" x14ac:dyDescent="0.2">
      <c r="C846" s="167"/>
    </row>
    <row r="847" spans="3:3" ht="12" customHeight="1" x14ac:dyDescent="0.2">
      <c r="C847" s="167"/>
    </row>
    <row r="848" spans="3:3" ht="12" customHeight="1" x14ac:dyDescent="0.2">
      <c r="C848" s="167"/>
    </row>
    <row r="849" spans="3:3" ht="12" customHeight="1" x14ac:dyDescent="0.2">
      <c r="C849" s="167"/>
    </row>
    <row r="850" spans="3:3" ht="12" customHeight="1" x14ac:dyDescent="0.2">
      <c r="C850" s="167"/>
    </row>
    <row r="851" spans="3:3" ht="12" customHeight="1" x14ac:dyDescent="0.2">
      <c r="C851" s="167"/>
    </row>
    <row r="852" spans="3:3" ht="12" customHeight="1" x14ac:dyDescent="0.2">
      <c r="C852" s="167"/>
    </row>
    <row r="853" spans="3:3" ht="12" customHeight="1" x14ac:dyDescent="0.2">
      <c r="C853" s="167"/>
    </row>
    <row r="854" spans="3:3" ht="12" customHeight="1" x14ac:dyDescent="0.2">
      <c r="C854" s="167"/>
    </row>
    <row r="855" spans="3:3" ht="12" customHeight="1" x14ac:dyDescent="0.2">
      <c r="C855" s="167"/>
    </row>
    <row r="856" spans="3:3" ht="12" customHeight="1" x14ac:dyDescent="0.2">
      <c r="C856" s="167"/>
    </row>
    <row r="857" spans="3:3" ht="12" customHeight="1" x14ac:dyDescent="0.2">
      <c r="C857" s="167"/>
    </row>
    <row r="858" spans="3:3" ht="12" customHeight="1" x14ac:dyDescent="0.2">
      <c r="C858" s="167"/>
    </row>
    <row r="859" spans="3:3" ht="12" customHeight="1" x14ac:dyDescent="0.2">
      <c r="C859" s="167"/>
    </row>
    <row r="860" spans="3:3" ht="12" customHeight="1" x14ac:dyDescent="0.2">
      <c r="C860" s="167"/>
    </row>
    <row r="861" spans="3:3" ht="12" customHeight="1" x14ac:dyDescent="0.2">
      <c r="C861" s="167"/>
    </row>
    <row r="862" spans="3:3" ht="12" customHeight="1" x14ac:dyDescent="0.2">
      <c r="C862" s="167"/>
    </row>
    <row r="863" spans="3:3" ht="12" customHeight="1" x14ac:dyDescent="0.2">
      <c r="C863" s="167"/>
    </row>
    <row r="864" spans="3:3" ht="12" customHeight="1" x14ac:dyDescent="0.2">
      <c r="C864" s="167"/>
    </row>
    <row r="865" spans="3:3" ht="12" customHeight="1" x14ac:dyDescent="0.2">
      <c r="C865" s="167"/>
    </row>
    <row r="866" spans="3:3" ht="12" customHeight="1" x14ac:dyDescent="0.2">
      <c r="C866" s="167"/>
    </row>
    <row r="867" spans="3:3" ht="12" customHeight="1" x14ac:dyDescent="0.2">
      <c r="C867" s="167"/>
    </row>
    <row r="868" spans="3:3" ht="12" customHeight="1" x14ac:dyDescent="0.2">
      <c r="C868" s="167"/>
    </row>
    <row r="869" spans="3:3" ht="12" customHeight="1" x14ac:dyDescent="0.2">
      <c r="C869" s="167"/>
    </row>
    <row r="870" spans="3:3" ht="12" customHeight="1" x14ac:dyDescent="0.2">
      <c r="C870" s="167"/>
    </row>
    <row r="871" spans="3:3" ht="12" customHeight="1" x14ac:dyDescent="0.2">
      <c r="C871" s="167"/>
    </row>
    <row r="872" spans="3:3" ht="12" customHeight="1" x14ac:dyDescent="0.2">
      <c r="C872" s="167"/>
    </row>
    <row r="873" spans="3:3" ht="12" customHeight="1" x14ac:dyDescent="0.2">
      <c r="C873" s="167"/>
    </row>
    <row r="874" spans="3:3" ht="12" customHeight="1" x14ac:dyDescent="0.2">
      <c r="C874" s="167"/>
    </row>
    <row r="875" spans="3:3" ht="12" customHeight="1" x14ac:dyDescent="0.2">
      <c r="C875" s="167"/>
    </row>
    <row r="876" spans="3:3" ht="12" customHeight="1" x14ac:dyDescent="0.2">
      <c r="C876" s="167"/>
    </row>
    <row r="877" spans="3:3" ht="12" customHeight="1" x14ac:dyDescent="0.2">
      <c r="C877" s="167"/>
    </row>
    <row r="878" spans="3:3" ht="12" customHeight="1" x14ac:dyDescent="0.2">
      <c r="C878" s="167"/>
    </row>
    <row r="879" spans="3:3" ht="12" customHeight="1" x14ac:dyDescent="0.2">
      <c r="C879" s="167"/>
    </row>
    <row r="880" spans="3:3" ht="12" customHeight="1" x14ac:dyDescent="0.2">
      <c r="C880" s="167"/>
    </row>
    <row r="881" spans="3:3" ht="12" customHeight="1" x14ac:dyDescent="0.2">
      <c r="C881" s="167"/>
    </row>
    <row r="882" spans="3:3" ht="12" customHeight="1" x14ac:dyDescent="0.2">
      <c r="C882" s="167"/>
    </row>
    <row r="883" spans="3:3" ht="12" customHeight="1" x14ac:dyDescent="0.2">
      <c r="C883" s="167"/>
    </row>
    <row r="884" spans="3:3" ht="12" customHeight="1" x14ac:dyDescent="0.2">
      <c r="C884" s="167"/>
    </row>
    <row r="885" spans="3:3" ht="12" customHeight="1" x14ac:dyDescent="0.2">
      <c r="C885" s="167"/>
    </row>
    <row r="886" spans="3:3" ht="12" customHeight="1" x14ac:dyDescent="0.2">
      <c r="C886" s="167"/>
    </row>
    <row r="887" spans="3:3" ht="12" customHeight="1" x14ac:dyDescent="0.2">
      <c r="C887" s="167"/>
    </row>
    <row r="888" spans="3:3" ht="12" customHeight="1" x14ac:dyDescent="0.2">
      <c r="C888" s="167"/>
    </row>
    <row r="889" spans="3:3" ht="12" customHeight="1" x14ac:dyDescent="0.2">
      <c r="C889" s="167"/>
    </row>
    <row r="890" spans="3:3" ht="12" customHeight="1" x14ac:dyDescent="0.2">
      <c r="C890" s="167"/>
    </row>
    <row r="891" spans="3:3" ht="12" customHeight="1" x14ac:dyDescent="0.2">
      <c r="C891" s="167"/>
    </row>
    <row r="892" spans="3:3" ht="12" customHeight="1" x14ac:dyDescent="0.2">
      <c r="C892" s="167"/>
    </row>
    <row r="893" spans="3:3" ht="12" customHeight="1" x14ac:dyDescent="0.2">
      <c r="C893" s="167"/>
    </row>
    <row r="894" spans="3:3" ht="12" customHeight="1" x14ac:dyDescent="0.2">
      <c r="C894" s="167"/>
    </row>
    <row r="895" spans="3:3" ht="12" customHeight="1" x14ac:dyDescent="0.2">
      <c r="C895" s="167"/>
    </row>
    <row r="896" spans="3:3" ht="12" customHeight="1" x14ac:dyDescent="0.2">
      <c r="C896" s="167"/>
    </row>
    <row r="897" spans="3:3" ht="12" customHeight="1" x14ac:dyDescent="0.2">
      <c r="C897" s="167"/>
    </row>
    <row r="898" spans="3:3" ht="12" customHeight="1" x14ac:dyDescent="0.2">
      <c r="C898" s="167"/>
    </row>
    <row r="899" spans="3:3" ht="12" customHeight="1" x14ac:dyDescent="0.2">
      <c r="C899" s="167"/>
    </row>
    <row r="900" spans="3:3" ht="12" customHeight="1" x14ac:dyDescent="0.2">
      <c r="C900" s="167"/>
    </row>
    <row r="901" spans="3:3" ht="12" customHeight="1" x14ac:dyDescent="0.2">
      <c r="C901" s="167"/>
    </row>
    <row r="902" spans="3:3" ht="12" customHeight="1" x14ac:dyDescent="0.2">
      <c r="C902" s="167"/>
    </row>
    <row r="903" spans="3:3" ht="12" customHeight="1" x14ac:dyDescent="0.2">
      <c r="C903" s="167"/>
    </row>
    <row r="904" spans="3:3" ht="12" customHeight="1" x14ac:dyDescent="0.2">
      <c r="C904" s="167"/>
    </row>
    <row r="905" spans="3:3" ht="12" customHeight="1" x14ac:dyDescent="0.2">
      <c r="C905" s="167"/>
    </row>
    <row r="906" spans="3:3" ht="12" customHeight="1" x14ac:dyDescent="0.2">
      <c r="C906" s="167"/>
    </row>
    <row r="907" spans="3:3" ht="12" customHeight="1" x14ac:dyDescent="0.2">
      <c r="C907" s="167"/>
    </row>
    <row r="908" spans="3:3" ht="12" customHeight="1" x14ac:dyDescent="0.2">
      <c r="C908" s="167"/>
    </row>
    <row r="909" spans="3:3" ht="12" customHeight="1" x14ac:dyDescent="0.2">
      <c r="C909" s="167"/>
    </row>
    <row r="910" spans="3:3" ht="12" customHeight="1" x14ac:dyDescent="0.2">
      <c r="C910" s="167"/>
    </row>
    <row r="911" spans="3:3" ht="12" customHeight="1" x14ac:dyDescent="0.2">
      <c r="C911" s="167"/>
    </row>
    <row r="912" spans="3:3" ht="12" customHeight="1" x14ac:dyDescent="0.2">
      <c r="C912" s="167"/>
    </row>
    <row r="913" spans="3:3" ht="12" customHeight="1" x14ac:dyDescent="0.2">
      <c r="C913" s="167"/>
    </row>
    <row r="914" spans="3:3" ht="12" customHeight="1" x14ac:dyDescent="0.2">
      <c r="C914" s="167"/>
    </row>
    <row r="915" spans="3:3" ht="12" customHeight="1" x14ac:dyDescent="0.2">
      <c r="C915" s="167"/>
    </row>
    <row r="916" spans="3:3" ht="12" customHeight="1" x14ac:dyDescent="0.2">
      <c r="C916" s="167"/>
    </row>
    <row r="917" spans="3:3" ht="12" customHeight="1" x14ac:dyDescent="0.2">
      <c r="C917" s="167"/>
    </row>
    <row r="918" spans="3:3" ht="12" customHeight="1" x14ac:dyDescent="0.2">
      <c r="C918" s="167"/>
    </row>
    <row r="919" spans="3:3" ht="12" customHeight="1" x14ac:dyDescent="0.2">
      <c r="C919" s="167"/>
    </row>
    <row r="920" spans="3:3" ht="12" customHeight="1" x14ac:dyDescent="0.2">
      <c r="C920" s="167"/>
    </row>
    <row r="921" spans="3:3" ht="12" customHeight="1" x14ac:dyDescent="0.2">
      <c r="C921" s="167"/>
    </row>
    <row r="922" spans="3:3" ht="12" customHeight="1" x14ac:dyDescent="0.2">
      <c r="C922" s="167"/>
    </row>
    <row r="923" spans="3:3" ht="12" customHeight="1" x14ac:dyDescent="0.2">
      <c r="C923" s="167"/>
    </row>
    <row r="924" spans="3:3" ht="12" customHeight="1" x14ac:dyDescent="0.2">
      <c r="C924" s="167"/>
    </row>
    <row r="925" spans="3:3" ht="12" customHeight="1" x14ac:dyDescent="0.2">
      <c r="C925" s="167"/>
    </row>
    <row r="926" spans="3:3" ht="12" customHeight="1" x14ac:dyDescent="0.2">
      <c r="C926" s="167"/>
    </row>
    <row r="927" spans="3:3" ht="12" customHeight="1" x14ac:dyDescent="0.2">
      <c r="C927" s="167"/>
    </row>
    <row r="928" spans="3:3" ht="12" customHeight="1" x14ac:dyDescent="0.2">
      <c r="C928" s="167"/>
    </row>
    <row r="929" spans="3:3" ht="12" customHeight="1" x14ac:dyDescent="0.2">
      <c r="C929" s="167"/>
    </row>
    <row r="930" spans="3:3" ht="12" customHeight="1" x14ac:dyDescent="0.2">
      <c r="C930" s="167"/>
    </row>
    <row r="931" spans="3:3" ht="12" customHeight="1" x14ac:dyDescent="0.2">
      <c r="C931" s="167"/>
    </row>
    <row r="932" spans="3:3" ht="12" customHeight="1" x14ac:dyDescent="0.2">
      <c r="C932" s="167"/>
    </row>
    <row r="933" spans="3:3" ht="12" customHeight="1" x14ac:dyDescent="0.2">
      <c r="C933" s="167"/>
    </row>
    <row r="934" spans="3:3" ht="12" customHeight="1" x14ac:dyDescent="0.2">
      <c r="C934" s="167"/>
    </row>
    <row r="935" spans="3:3" ht="12" customHeight="1" x14ac:dyDescent="0.2">
      <c r="C935" s="167"/>
    </row>
    <row r="936" spans="3:3" ht="12" customHeight="1" x14ac:dyDescent="0.2">
      <c r="C936" s="167"/>
    </row>
    <row r="937" spans="3:3" ht="12" customHeight="1" x14ac:dyDescent="0.2">
      <c r="C937" s="167"/>
    </row>
    <row r="938" spans="3:3" ht="12" customHeight="1" x14ac:dyDescent="0.2">
      <c r="C938" s="167"/>
    </row>
    <row r="939" spans="3:3" ht="12" customHeight="1" x14ac:dyDescent="0.2">
      <c r="C939" s="167"/>
    </row>
    <row r="940" spans="3:3" ht="12" customHeight="1" x14ac:dyDescent="0.2">
      <c r="C940" s="167"/>
    </row>
    <row r="941" spans="3:3" ht="12" customHeight="1" x14ac:dyDescent="0.2">
      <c r="C941" s="167"/>
    </row>
    <row r="942" spans="3:3" ht="12" customHeight="1" x14ac:dyDescent="0.2">
      <c r="C942" s="167"/>
    </row>
    <row r="943" spans="3:3" ht="12" customHeight="1" x14ac:dyDescent="0.2">
      <c r="C943" s="167"/>
    </row>
    <row r="944" spans="3:3" ht="12" customHeight="1" x14ac:dyDescent="0.2">
      <c r="C944" s="167"/>
    </row>
    <row r="945" spans="3:3" ht="12" customHeight="1" x14ac:dyDescent="0.2">
      <c r="C945" s="167"/>
    </row>
    <row r="946" spans="3:3" ht="12" customHeight="1" x14ac:dyDescent="0.2">
      <c r="C946" s="167"/>
    </row>
    <row r="947" spans="3:3" ht="12" customHeight="1" x14ac:dyDescent="0.2">
      <c r="C947" s="167"/>
    </row>
    <row r="948" spans="3:3" ht="12" customHeight="1" x14ac:dyDescent="0.2">
      <c r="C948" s="167"/>
    </row>
    <row r="949" spans="3:3" ht="12" customHeight="1" x14ac:dyDescent="0.2">
      <c r="C949" s="167"/>
    </row>
    <row r="950" spans="3:3" ht="12" customHeight="1" x14ac:dyDescent="0.2">
      <c r="C950" s="167"/>
    </row>
    <row r="951" spans="3:3" ht="12" customHeight="1" x14ac:dyDescent="0.2">
      <c r="C951" s="167"/>
    </row>
    <row r="952" spans="3:3" ht="12" customHeight="1" x14ac:dyDescent="0.2">
      <c r="C952" s="167"/>
    </row>
    <row r="953" spans="3:3" ht="12" customHeight="1" x14ac:dyDescent="0.2">
      <c r="C953" s="167"/>
    </row>
    <row r="954" spans="3:3" ht="12" customHeight="1" x14ac:dyDescent="0.2">
      <c r="C954" s="167"/>
    </row>
    <row r="955" spans="3:3" ht="12" customHeight="1" x14ac:dyDescent="0.2">
      <c r="C955" s="167"/>
    </row>
    <row r="956" spans="3:3" ht="12" customHeight="1" x14ac:dyDescent="0.2">
      <c r="C956" s="167"/>
    </row>
    <row r="957" spans="3:3" ht="12" customHeight="1" x14ac:dyDescent="0.2">
      <c r="C957" s="167"/>
    </row>
    <row r="958" spans="3:3" ht="12" customHeight="1" x14ac:dyDescent="0.2">
      <c r="C958" s="167"/>
    </row>
    <row r="959" spans="3:3" ht="12" customHeight="1" x14ac:dyDescent="0.2">
      <c r="C959" s="167"/>
    </row>
    <row r="960" spans="3:3" ht="12" customHeight="1" x14ac:dyDescent="0.2">
      <c r="C960" s="167"/>
    </row>
    <row r="961" spans="3:3" ht="12" customHeight="1" x14ac:dyDescent="0.2">
      <c r="C961" s="167"/>
    </row>
    <row r="962" spans="3:3" ht="12" customHeight="1" x14ac:dyDescent="0.2">
      <c r="C962" s="167"/>
    </row>
    <row r="963" spans="3:3" ht="12" customHeight="1" x14ac:dyDescent="0.2">
      <c r="C963" s="167"/>
    </row>
    <row r="964" spans="3:3" ht="12" customHeight="1" x14ac:dyDescent="0.2">
      <c r="C964" s="167"/>
    </row>
    <row r="965" spans="3:3" ht="12" customHeight="1" x14ac:dyDescent="0.2">
      <c r="C965" s="167"/>
    </row>
    <row r="966" spans="3:3" ht="12" customHeight="1" x14ac:dyDescent="0.2">
      <c r="C966" s="167"/>
    </row>
    <row r="967" spans="3:3" ht="12" customHeight="1" x14ac:dyDescent="0.2">
      <c r="C967" s="167"/>
    </row>
    <row r="968" spans="3:3" ht="12" customHeight="1" x14ac:dyDescent="0.2">
      <c r="C968" s="167"/>
    </row>
    <row r="969" spans="3:3" ht="12" customHeight="1" x14ac:dyDescent="0.2">
      <c r="C969" s="167"/>
    </row>
    <row r="970" spans="3:3" ht="12" customHeight="1" x14ac:dyDescent="0.2">
      <c r="C970" s="167"/>
    </row>
    <row r="971" spans="3:3" ht="12" customHeight="1" x14ac:dyDescent="0.2">
      <c r="C971" s="167"/>
    </row>
    <row r="972" spans="3:3" ht="12" customHeight="1" x14ac:dyDescent="0.2">
      <c r="C972" s="167"/>
    </row>
    <row r="973" spans="3:3" ht="12" customHeight="1" x14ac:dyDescent="0.2">
      <c r="C973" s="167"/>
    </row>
    <row r="974" spans="3:3" ht="12" customHeight="1" x14ac:dyDescent="0.2">
      <c r="C974" s="167"/>
    </row>
    <row r="975" spans="3:3" ht="12" customHeight="1" x14ac:dyDescent="0.2">
      <c r="C975" s="167"/>
    </row>
    <row r="976" spans="3:3" ht="12" customHeight="1" x14ac:dyDescent="0.2">
      <c r="C976" s="167"/>
    </row>
    <row r="977" spans="3:3" ht="12" customHeight="1" x14ac:dyDescent="0.2">
      <c r="C977" s="167"/>
    </row>
    <row r="978" spans="3:3" ht="12" customHeight="1" x14ac:dyDescent="0.2">
      <c r="C978" s="167"/>
    </row>
    <row r="979" spans="3:3" ht="12" customHeight="1" x14ac:dyDescent="0.2">
      <c r="C979" s="167"/>
    </row>
    <row r="980" spans="3:3" ht="12" customHeight="1" x14ac:dyDescent="0.2">
      <c r="C980" s="167"/>
    </row>
    <row r="981" spans="3:3" ht="12" customHeight="1" x14ac:dyDescent="0.2">
      <c r="C981" s="167"/>
    </row>
    <row r="982" spans="3:3" ht="12" customHeight="1" x14ac:dyDescent="0.2">
      <c r="C982" s="167"/>
    </row>
    <row r="983" spans="3:3" ht="12" customHeight="1" x14ac:dyDescent="0.2">
      <c r="C983" s="167"/>
    </row>
    <row r="984" spans="3:3" ht="12" customHeight="1" x14ac:dyDescent="0.2">
      <c r="C984" s="167"/>
    </row>
    <row r="985" spans="3:3" ht="12" customHeight="1" x14ac:dyDescent="0.2">
      <c r="C985" s="167"/>
    </row>
    <row r="986" spans="3:3" ht="12" customHeight="1" x14ac:dyDescent="0.2">
      <c r="C986" s="167"/>
    </row>
    <row r="987" spans="3:3" ht="12" customHeight="1" x14ac:dyDescent="0.2">
      <c r="C987" s="167"/>
    </row>
    <row r="988" spans="3:3" ht="12" customHeight="1" x14ac:dyDescent="0.2">
      <c r="C988" s="167"/>
    </row>
    <row r="989" spans="3:3" ht="12" customHeight="1" x14ac:dyDescent="0.2">
      <c r="C989" s="167"/>
    </row>
    <row r="990" spans="3:3" ht="12" customHeight="1" x14ac:dyDescent="0.2">
      <c r="C990" s="167"/>
    </row>
    <row r="991" spans="3:3" ht="12" customHeight="1" x14ac:dyDescent="0.2">
      <c r="C991" s="167"/>
    </row>
    <row r="992" spans="3:3" ht="12" customHeight="1" x14ac:dyDescent="0.2">
      <c r="C992" s="167"/>
    </row>
    <row r="993" spans="3:3" ht="12" customHeight="1" x14ac:dyDescent="0.2">
      <c r="C993" s="167"/>
    </row>
    <row r="994" spans="3:3" ht="12" customHeight="1" x14ac:dyDescent="0.2">
      <c r="C994" s="167"/>
    </row>
    <row r="995" spans="3:3" ht="12" customHeight="1" x14ac:dyDescent="0.2">
      <c r="C995" s="167"/>
    </row>
    <row r="996" spans="3:3" ht="12" customHeight="1" x14ac:dyDescent="0.2">
      <c r="C996" s="167"/>
    </row>
    <row r="997" spans="3:3" ht="12" customHeight="1" x14ac:dyDescent="0.2">
      <c r="C997" s="167"/>
    </row>
    <row r="998" spans="3:3" ht="12" customHeight="1" x14ac:dyDescent="0.2">
      <c r="C998" s="167"/>
    </row>
    <row r="999" spans="3:3" ht="12" customHeight="1" x14ac:dyDescent="0.2">
      <c r="C999" s="167"/>
    </row>
    <row r="1000" spans="3:3" ht="12" customHeight="1" x14ac:dyDescent="0.2">
      <c r="C1000" s="167"/>
    </row>
  </sheetData>
  <mergeCells count="30">
    <mergeCell ref="A38:A50"/>
    <mergeCell ref="A51:A63"/>
    <mergeCell ref="A66:A84"/>
    <mergeCell ref="A94:A113"/>
    <mergeCell ref="A114:A123"/>
    <mergeCell ref="A126:A142"/>
    <mergeCell ref="A143:A161"/>
    <mergeCell ref="A4:A8"/>
    <mergeCell ref="A9:A15"/>
    <mergeCell ref="B9:B14"/>
    <mergeCell ref="A16:A35"/>
    <mergeCell ref="B17:B23"/>
    <mergeCell ref="B24:B29"/>
    <mergeCell ref="B45:B48"/>
    <mergeCell ref="B30:B33"/>
    <mergeCell ref="B39:B44"/>
    <mergeCell ref="B52:B60"/>
    <mergeCell ref="B67:B70"/>
    <mergeCell ref="B71:B74"/>
    <mergeCell ref="B75:B79"/>
    <mergeCell ref="B80:B82"/>
    <mergeCell ref="B151:B154"/>
    <mergeCell ref="B155:B158"/>
    <mergeCell ref="B95:B102"/>
    <mergeCell ref="B103:B108"/>
    <mergeCell ref="B109:B111"/>
    <mergeCell ref="B115:B118"/>
    <mergeCell ref="B127:B135"/>
    <mergeCell ref="B136:B140"/>
    <mergeCell ref="B144:B150"/>
  </mergeCells>
  <hyperlinks>
    <hyperlink ref="A2" r:id="rId1" xr:uid="{00000000-0004-0000-0100-000000000000}"/>
  </hyperlinks>
  <printOptions horizontalCentered="1" verticalCentered="1"/>
  <pageMargins left="0.23622047244094491" right="0.23622047244094491" top="0.74803149606299213" bottom="0.74803149606299213" header="0" footer="0"/>
  <pageSetup paperSize="9" scale="22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D965"/>
    <pageSetUpPr fitToPage="1"/>
  </sheetPr>
  <dimension ref="A1:Z1000"/>
  <sheetViews>
    <sheetView view="pageBreakPreview" topLeftCell="A30" zoomScale="60" zoomScaleNormal="100" workbookViewId="0"/>
  </sheetViews>
  <sheetFormatPr defaultColWidth="12.625" defaultRowHeight="15" customHeight="1" x14ac:dyDescent="0.2"/>
  <cols>
    <col min="1" max="1" width="46.375" customWidth="1"/>
    <col min="2" max="2" width="19.5" customWidth="1"/>
    <col min="3" max="3" width="27.375" customWidth="1"/>
    <col min="4" max="20" width="7" customWidth="1"/>
    <col min="21" max="21" width="0.125" customWidth="1"/>
    <col min="22" max="22" width="7" hidden="1" customWidth="1"/>
    <col min="23" max="26" width="7" customWidth="1"/>
  </cols>
  <sheetData>
    <row r="1" spans="1:26" ht="13.5" customHeight="1" x14ac:dyDescent="0.2">
      <c r="A1" s="20"/>
      <c r="B1" s="20"/>
      <c r="C1" s="21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7"/>
      <c r="X1" s="17"/>
      <c r="Y1" s="17"/>
      <c r="Z1" s="17"/>
    </row>
    <row r="2" spans="1:26" ht="27.75" customHeight="1" x14ac:dyDescent="0.2">
      <c r="A2" s="22" t="s">
        <v>277</v>
      </c>
      <c r="B2" s="23" t="s">
        <v>278</v>
      </c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6"/>
      <c r="X2" s="26"/>
      <c r="Y2" s="26"/>
      <c r="Z2" s="26"/>
    </row>
    <row r="3" spans="1:26" ht="27.75" customHeight="1" x14ac:dyDescent="0.2">
      <c r="A3" s="27" t="s">
        <v>279</v>
      </c>
      <c r="B3" s="28">
        <v>100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/>
      <c r="X3" s="26"/>
      <c r="Y3" s="26"/>
      <c r="Z3" s="26"/>
    </row>
    <row r="4" spans="1:26" ht="27.75" customHeight="1" x14ac:dyDescent="0.2">
      <c r="A4" s="29" t="s">
        <v>280</v>
      </c>
      <c r="B4" s="30">
        <v>101</v>
      </c>
      <c r="C4" s="31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7"/>
      <c r="X4" s="17"/>
      <c r="Y4" s="17"/>
      <c r="Z4" s="17"/>
    </row>
    <row r="5" spans="1:26" ht="27.75" customHeight="1" x14ac:dyDescent="0.2">
      <c r="A5" s="29" t="s">
        <v>281</v>
      </c>
      <c r="B5" s="30">
        <v>102</v>
      </c>
      <c r="C5" s="21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7"/>
      <c r="X5" s="17"/>
      <c r="Y5" s="17"/>
      <c r="Z5" s="17"/>
    </row>
    <row r="6" spans="1:26" ht="27.75" customHeight="1" x14ac:dyDescent="0.2">
      <c r="A6" s="29" t="s">
        <v>282</v>
      </c>
      <c r="B6" s="30">
        <v>103</v>
      </c>
      <c r="C6" s="31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7"/>
      <c r="X6" s="17"/>
      <c r="Y6" s="17"/>
      <c r="Z6" s="17"/>
    </row>
    <row r="7" spans="1:26" ht="27.75" customHeight="1" x14ac:dyDescent="0.2">
      <c r="A7" s="29" t="s">
        <v>283</v>
      </c>
      <c r="B7" s="30">
        <v>104</v>
      </c>
      <c r="C7" s="31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7"/>
      <c r="X7" s="17"/>
      <c r="Y7" s="17"/>
      <c r="Z7" s="17"/>
    </row>
    <row r="8" spans="1:26" ht="27.75" customHeight="1" x14ac:dyDescent="0.2">
      <c r="A8" s="29" t="s">
        <v>284</v>
      </c>
      <c r="B8" s="30">
        <v>105</v>
      </c>
      <c r="C8" s="3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7"/>
      <c r="X8" s="17"/>
      <c r="Y8" s="17"/>
      <c r="Z8" s="17"/>
    </row>
    <row r="9" spans="1:26" ht="27.75" customHeight="1" x14ac:dyDescent="0.2">
      <c r="A9" s="29" t="s">
        <v>285</v>
      </c>
      <c r="B9" s="30">
        <v>106</v>
      </c>
      <c r="C9" s="3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7"/>
      <c r="X9" s="17"/>
      <c r="Y9" s="17"/>
      <c r="Z9" s="17"/>
    </row>
    <row r="10" spans="1:26" ht="27.75" customHeight="1" x14ac:dyDescent="0.2">
      <c r="A10" s="29" t="s">
        <v>286</v>
      </c>
      <c r="B10" s="30">
        <v>107</v>
      </c>
      <c r="C10" s="3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7"/>
      <c r="X10" s="17"/>
      <c r="Y10" s="17"/>
      <c r="Z10" s="17"/>
    </row>
    <row r="11" spans="1:26" ht="27.75" customHeight="1" x14ac:dyDescent="0.2">
      <c r="A11" s="32" t="s">
        <v>287</v>
      </c>
      <c r="B11" s="30">
        <v>200</v>
      </c>
      <c r="C11" s="3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7"/>
      <c r="X11" s="17"/>
      <c r="Y11" s="17"/>
      <c r="Z11" s="17"/>
    </row>
    <row r="12" spans="1:26" ht="27.75" customHeight="1" x14ac:dyDescent="0.2">
      <c r="A12" s="29" t="s">
        <v>288</v>
      </c>
      <c r="B12" s="30">
        <v>201</v>
      </c>
      <c r="C12" s="31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7"/>
      <c r="X12" s="17"/>
      <c r="Y12" s="17"/>
      <c r="Z12" s="17"/>
    </row>
    <row r="13" spans="1:26" ht="27.75" customHeight="1" x14ac:dyDescent="0.2">
      <c r="A13" s="29" t="s">
        <v>289</v>
      </c>
      <c r="B13" s="30">
        <v>202</v>
      </c>
      <c r="C13" s="3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7"/>
      <c r="X13" s="17"/>
      <c r="Y13" s="17"/>
      <c r="Z13" s="17"/>
    </row>
    <row r="14" spans="1:26" ht="27.75" customHeight="1" x14ac:dyDescent="0.2">
      <c r="A14" s="29" t="s">
        <v>290</v>
      </c>
      <c r="B14" s="30">
        <v>203</v>
      </c>
      <c r="C14" s="31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7"/>
      <c r="X14" s="17"/>
      <c r="Y14" s="17"/>
      <c r="Z14" s="17"/>
    </row>
    <row r="15" spans="1:26" ht="27.75" customHeight="1" x14ac:dyDescent="0.2">
      <c r="A15" s="29" t="s">
        <v>291</v>
      </c>
      <c r="B15" s="30">
        <v>204</v>
      </c>
      <c r="C15" s="31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7"/>
      <c r="X15" s="17"/>
      <c r="Y15" s="17"/>
      <c r="Z15" s="17"/>
    </row>
    <row r="16" spans="1:26" ht="27.75" customHeight="1" x14ac:dyDescent="0.2">
      <c r="A16" s="29" t="s">
        <v>292</v>
      </c>
      <c r="B16" s="30">
        <v>205</v>
      </c>
      <c r="C16" s="3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7"/>
      <c r="X16" s="17"/>
      <c r="Y16" s="17"/>
      <c r="Z16" s="17"/>
    </row>
    <row r="17" spans="1:26" ht="27.75" customHeight="1" x14ac:dyDescent="0.2">
      <c r="A17" s="29" t="s">
        <v>293</v>
      </c>
      <c r="B17" s="30">
        <v>206</v>
      </c>
      <c r="C17" s="31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7"/>
      <c r="X17" s="17"/>
      <c r="Y17" s="17"/>
      <c r="Z17" s="17"/>
    </row>
    <row r="18" spans="1:26" ht="27.75" customHeight="1" x14ac:dyDescent="0.2">
      <c r="A18" s="29" t="s">
        <v>294</v>
      </c>
      <c r="B18" s="30">
        <v>207</v>
      </c>
      <c r="C18" s="31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7"/>
      <c r="X18" s="17"/>
      <c r="Y18" s="17"/>
      <c r="Z18" s="17"/>
    </row>
    <row r="19" spans="1:26" ht="27.75" customHeight="1" x14ac:dyDescent="0.2">
      <c r="A19" s="29" t="s">
        <v>295</v>
      </c>
      <c r="B19" s="30">
        <v>208</v>
      </c>
      <c r="C19" s="31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7"/>
      <c r="X19" s="17"/>
      <c r="Y19" s="17"/>
      <c r="Z19" s="17"/>
    </row>
    <row r="20" spans="1:26" ht="27.75" customHeight="1" x14ac:dyDescent="0.2">
      <c r="A20" s="29" t="s">
        <v>296</v>
      </c>
      <c r="B20" s="30">
        <v>209</v>
      </c>
      <c r="C20" s="31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7"/>
      <c r="X20" s="17"/>
      <c r="Y20" s="17"/>
      <c r="Z20" s="17"/>
    </row>
    <row r="21" spans="1:26" ht="27.75" customHeight="1" x14ac:dyDescent="0.2">
      <c r="A21" s="33" t="s">
        <v>297</v>
      </c>
      <c r="B21" s="30">
        <v>300</v>
      </c>
      <c r="C21" s="31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7"/>
      <c r="X21" s="17"/>
      <c r="Y21" s="17"/>
      <c r="Z21" s="17"/>
    </row>
    <row r="22" spans="1:26" ht="27.75" customHeight="1" x14ac:dyDescent="0.2">
      <c r="A22" s="29" t="s">
        <v>298</v>
      </c>
      <c r="B22" s="30">
        <v>301</v>
      </c>
      <c r="C22" s="31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7"/>
      <c r="X22" s="17"/>
      <c r="Y22" s="17"/>
      <c r="Z22" s="17"/>
    </row>
    <row r="23" spans="1:26" ht="27.75" customHeight="1" x14ac:dyDescent="0.2">
      <c r="A23" s="29" t="s">
        <v>299</v>
      </c>
      <c r="B23" s="30">
        <v>302</v>
      </c>
      <c r="C23" s="31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7"/>
      <c r="X23" s="17"/>
      <c r="Y23" s="17"/>
      <c r="Z23" s="17"/>
    </row>
    <row r="24" spans="1:26" ht="27.75" customHeight="1" x14ac:dyDescent="0.2">
      <c r="A24" s="29" t="s">
        <v>300</v>
      </c>
      <c r="B24" s="30">
        <v>303</v>
      </c>
      <c r="C24" s="31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7"/>
      <c r="X24" s="17"/>
      <c r="Y24" s="17"/>
      <c r="Z24" s="17"/>
    </row>
    <row r="25" spans="1:26" ht="27.75" customHeight="1" x14ac:dyDescent="0.2">
      <c r="A25" s="29" t="s">
        <v>301</v>
      </c>
      <c r="B25" s="30">
        <v>304</v>
      </c>
      <c r="C25" s="31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7"/>
      <c r="X25" s="17"/>
      <c r="Y25" s="17"/>
      <c r="Z25" s="17"/>
    </row>
    <row r="26" spans="1:26" ht="27.75" customHeight="1" x14ac:dyDescent="0.2">
      <c r="A26" s="34" t="s">
        <v>302</v>
      </c>
      <c r="B26" s="30">
        <v>400</v>
      </c>
      <c r="C26" s="31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7"/>
      <c r="X26" s="17"/>
      <c r="Y26" s="17"/>
      <c r="Z26" s="17"/>
    </row>
    <row r="27" spans="1:26" ht="27.75" customHeight="1" x14ac:dyDescent="0.2">
      <c r="A27" s="29" t="s">
        <v>303</v>
      </c>
      <c r="B27" s="30">
        <v>401</v>
      </c>
      <c r="C27" s="31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7"/>
      <c r="X27" s="17"/>
      <c r="Y27" s="17"/>
      <c r="Z27" s="17"/>
    </row>
    <row r="28" spans="1:26" ht="27.75" customHeight="1" x14ac:dyDescent="0.2">
      <c r="A28" s="29" t="s">
        <v>304</v>
      </c>
      <c r="B28" s="30">
        <v>402</v>
      </c>
      <c r="C28" s="31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7"/>
      <c r="X28" s="17"/>
      <c r="Y28" s="17"/>
      <c r="Z28" s="17"/>
    </row>
    <row r="29" spans="1:26" ht="27.75" customHeight="1" x14ac:dyDescent="0.2">
      <c r="A29" s="29" t="s">
        <v>305</v>
      </c>
      <c r="B29" s="30">
        <v>403</v>
      </c>
      <c r="C29" s="31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7"/>
      <c r="X29" s="17"/>
      <c r="Y29" s="17"/>
      <c r="Z29" s="17"/>
    </row>
    <row r="30" spans="1:26" ht="27.75" customHeight="1" x14ac:dyDescent="0.2">
      <c r="A30" s="29" t="s">
        <v>306</v>
      </c>
      <c r="B30" s="30">
        <v>404</v>
      </c>
      <c r="C30" s="31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7"/>
      <c r="X30" s="17"/>
      <c r="Y30" s="17"/>
      <c r="Z30" s="17"/>
    </row>
    <row r="31" spans="1:26" ht="27.75" customHeight="1" x14ac:dyDescent="0.2">
      <c r="A31" s="29" t="s">
        <v>307</v>
      </c>
      <c r="B31" s="30">
        <v>405</v>
      </c>
      <c r="C31" s="31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7"/>
      <c r="X31" s="17"/>
      <c r="Y31" s="17"/>
      <c r="Z31" s="17"/>
    </row>
    <row r="32" spans="1:26" ht="27.75" customHeight="1" x14ac:dyDescent="0.2">
      <c r="A32" s="32" t="s">
        <v>308</v>
      </c>
      <c r="B32" s="30">
        <v>500</v>
      </c>
      <c r="C32" s="31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7"/>
      <c r="X32" s="17"/>
      <c r="Y32" s="17"/>
      <c r="Z32" s="17"/>
    </row>
    <row r="33" spans="1:26" ht="27.75" customHeight="1" x14ac:dyDescent="0.2">
      <c r="A33" s="29" t="s">
        <v>309</v>
      </c>
      <c r="B33" s="30">
        <v>501</v>
      </c>
      <c r="C33" s="31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7"/>
      <c r="X33" s="17"/>
      <c r="Y33" s="17"/>
      <c r="Z33" s="17"/>
    </row>
    <row r="34" spans="1:26" ht="40.5" customHeight="1" x14ac:dyDescent="0.2">
      <c r="A34" s="29" t="s">
        <v>310</v>
      </c>
      <c r="B34" s="30">
        <v>502</v>
      </c>
      <c r="C34" s="31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7"/>
      <c r="X34" s="17"/>
      <c r="Y34" s="17"/>
      <c r="Z34" s="17"/>
    </row>
    <row r="35" spans="1:26" ht="27.75" customHeight="1" x14ac:dyDescent="0.2">
      <c r="A35" s="29" t="s">
        <v>311</v>
      </c>
      <c r="B35" s="30">
        <v>503</v>
      </c>
      <c r="C35" s="31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7"/>
      <c r="X35" s="17"/>
      <c r="Y35" s="17"/>
      <c r="Z35" s="17"/>
    </row>
    <row r="36" spans="1:26" ht="27.75" customHeight="1" x14ac:dyDescent="0.2">
      <c r="A36" s="29" t="s">
        <v>312</v>
      </c>
      <c r="B36" s="30">
        <v>504</v>
      </c>
      <c r="C36" s="18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7"/>
      <c r="X36" s="17"/>
      <c r="Y36" s="17"/>
      <c r="Z36" s="17"/>
    </row>
    <row r="37" spans="1:26" ht="27.75" customHeight="1" x14ac:dyDescent="0.2">
      <c r="A37" s="29" t="s">
        <v>313</v>
      </c>
      <c r="B37" s="30">
        <v>505</v>
      </c>
      <c r="C37" s="31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7"/>
      <c r="X37" s="17"/>
      <c r="Y37" s="17"/>
      <c r="Z37" s="17"/>
    </row>
    <row r="38" spans="1:26" ht="27.75" customHeight="1" x14ac:dyDescent="0.2">
      <c r="A38" s="29" t="s">
        <v>314</v>
      </c>
      <c r="B38" s="30">
        <v>506</v>
      </c>
      <c r="C38" s="31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7"/>
      <c r="X38" s="17"/>
      <c r="Y38" s="17"/>
      <c r="Z38" s="17"/>
    </row>
    <row r="39" spans="1:26" ht="27.75" customHeight="1" x14ac:dyDescent="0.2">
      <c r="A39" s="29" t="s">
        <v>315</v>
      </c>
      <c r="B39" s="30">
        <v>507</v>
      </c>
      <c r="C39" s="31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7"/>
      <c r="X39" s="17"/>
      <c r="Y39" s="17"/>
      <c r="Z39" s="17"/>
    </row>
    <row r="40" spans="1:26" ht="27.75" customHeight="1" x14ac:dyDescent="0.2">
      <c r="A40" s="29" t="s">
        <v>316</v>
      </c>
      <c r="B40" s="30">
        <v>508</v>
      </c>
      <c r="C40" s="31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7"/>
      <c r="X40" s="17"/>
      <c r="Y40" s="17"/>
      <c r="Z40" s="17"/>
    </row>
    <row r="41" spans="1:26" ht="27.75" customHeight="1" x14ac:dyDescent="0.2">
      <c r="A41" s="29" t="s">
        <v>317</v>
      </c>
      <c r="B41" s="30">
        <v>509</v>
      </c>
      <c r="C41" s="31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7"/>
      <c r="X41" s="17"/>
      <c r="Y41" s="17"/>
      <c r="Z41" s="17"/>
    </row>
    <row r="42" spans="1:26" ht="27.75" customHeight="1" x14ac:dyDescent="0.2">
      <c r="A42" s="29" t="s">
        <v>318</v>
      </c>
      <c r="B42" s="30">
        <v>510</v>
      </c>
      <c r="C42" s="31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7"/>
      <c r="X42" s="17"/>
      <c r="Y42" s="17"/>
      <c r="Z42" s="17"/>
    </row>
    <row r="43" spans="1:26" ht="27.75" customHeight="1" x14ac:dyDescent="0.2">
      <c r="A43" s="29" t="s">
        <v>319</v>
      </c>
      <c r="B43" s="30">
        <v>511</v>
      </c>
      <c r="C43" s="31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7"/>
      <c r="X43" s="17"/>
      <c r="Y43" s="17"/>
      <c r="Z43" s="17"/>
    </row>
    <row r="44" spans="1:26" ht="27.75" customHeight="1" x14ac:dyDescent="0.2">
      <c r="A44" s="35" t="s">
        <v>320</v>
      </c>
      <c r="B44" s="30">
        <v>600</v>
      </c>
      <c r="C44" s="18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7"/>
      <c r="X44" s="17"/>
      <c r="Y44" s="17"/>
      <c r="Z44" s="17"/>
    </row>
    <row r="45" spans="1:26" ht="27.75" customHeight="1" x14ac:dyDescent="0.2">
      <c r="A45" s="29" t="s">
        <v>321</v>
      </c>
      <c r="B45" s="30">
        <v>601</v>
      </c>
      <c r="C45" s="31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7"/>
      <c r="X45" s="17"/>
      <c r="Y45" s="17"/>
      <c r="Z45" s="17"/>
    </row>
    <row r="46" spans="1:26" ht="27.75" customHeight="1" x14ac:dyDescent="0.2">
      <c r="A46" s="36" t="s">
        <v>322</v>
      </c>
      <c r="B46" s="30">
        <v>602</v>
      </c>
      <c r="C46" s="18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7"/>
      <c r="X46" s="17"/>
      <c r="Y46" s="17"/>
      <c r="Z46" s="17"/>
    </row>
    <row r="47" spans="1:26" ht="27.75" customHeight="1" x14ac:dyDescent="0.2">
      <c r="A47" s="36" t="s">
        <v>323</v>
      </c>
      <c r="B47" s="30">
        <v>603</v>
      </c>
      <c r="C47" s="18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7"/>
      <c r="X47" s="17"/>
      <c r="Y47" s="17"/>
      <c r="Z47" s="17"/>
    </row>
    <row r="48" spans="1:26" ht="27.75" customHeight="1" x14ac:dyDescent="0.2">
      <c r="A48" s="36" t="s">
        <v>324</v>
      </c>
      <c r="B48" s="30">
        <v>604</v>
      </c>
      <c r="C48" s="18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7"/>
      <c r="X48" s="17"/>
      <c r="Y48" s="17"/>
      <c r="Z48" s="17"/>
    </row>
    <row r="49" spans="1:26" ht="27.75" customHeight="1" x14ac:dyDescent="0.2">
      <c r="A49" s="36" t="s">
        <v>325</v>
      </c>
      <c r="B49" s="30">
        <v>605</v>
      </c>
      <c r="C49" s="18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7"/>
      <c r="X49" s="17"/>
      <c r="Y49" s="17"/>
      <c r="Z49" s="17"/>
    </row>
    <row r="50" spans="1:26" ht="27.75" customHeight="1" x14ac:dyDescent="0.2">
      <c r="A50" s="36" t="s">
        <v>326</v>
      </c>
      <c r="B50" s="30">
        <v>606</v>
      </c>
      <c r="C50" s="31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7"/>
      <c r="X50" s="17"/>
      <c r="Y50" s="17"/>
      <c r="Z50" s="17"/>
    </row>
    <row r="51" spans="1:26" ht="27.75" customHeight="1" x14ac:dyDescent="0.2">
      <c r="A51" s="36" t="s">
        <v>327</v>
      </c>
      <c r="B51" s="30">
        <v>607</v>
      </c>
      <c r="C51" s="31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7"/>
      <c r="X51" s="17"/>
      <c r="Y51" s="17"/>
      <c r="Z51" s="17"/>
    </row>
    <row r="52" spans="1:26" ht="27.75" customHeight="1" x14ac:dyDescent="0.2">
      <c r="A52" s="37" t="s">
        <v>328</v>
      </c>
      <c r="B52" s="30">
        <v>700</v>
      </c>
      <c r="C52" s="31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7"/>
      <c r="X52" s="17"/>
      <c r="Y52" s="17"/>
      <c r="Z52" s="17"/>
    </row>
    <row r="53" spans="1:26" ht="27.75" customHeight="1" x14ac:dyDescent="0.2">
      <c r="A53" s="29" t="s">
        <v>329</v>
      </c>
      <c r="B53" s="30">
        <v>701</v>
      </c>
      <c r="C53" s="31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7"/>
      <c r="X53" s="17"/>
      <c r="Y53" s="17"/>
      <c r="Z53" s="17"/>
    </row>
    <row r="54" spans="1:26" ht="27.75" customHeight="1" x14ac:dyDescent="0.2">
      <c r="A54" s="38" t="s">
        <v>330</v>
      </c>
      <c r="B54" s="30">
        <v>800</v>
      </c>
      <c r="C54" s="31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7"/>
      <c r="X54" s="17"/>
      <c r="Y54" s="17"/>
      <c r="Z54" s="17"/>
    </row>
    <row r="55" spans="1:26" ht="27.75" customHeight="1" x14ac:dyDescent="0.2">
      <c r="A55" s="29" t="s">
        <v>331</v>
      </c>
      <c r="B55" s="30">
        <v>801</v>
      </c>
      <c r="C55" s="31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7"/>
      <c r="X55" s="17"/>
      <c r="Y55" s="17"/>
      <c r="Z55" s="17"/>
    </row>
    <row r="56" spans="1:26" ht="27.75" customHeight="1" x14ac:dyDescent="0.2">
      <c r="A56" s="36" t="s">
        <v>332</v>
      </c>
      <c r="B56" s="30">
        <v>802</v>
      </c>
      <c r="C56" s="31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7"/>
      <c r="X56" s="17"/>
      <c r="Y56" s="17"/>
      <c r="Z56" s="17"/>
    </row>
    <row r="57" spans="1:26" ht="27.75" customHeight="1" x14ac:dyDescent="0.2">
      <c r="A57" s="36" t="s">
        <v>333</v>
      </c>
      <c r="B57" s="30">
        <v>803</v>
      </c>
      <c r="C57" s="31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7"/>
      <c r="X57" s="17"/>
      <c r="Y57" s="17"/>
      <c r="Z57" s="17"/>
    </row>
    <row r="58" spans="1:26" ht="12" customHeight="1" x14ac:dyDescent="0.2">
      <c r="A58" s="16"/>
      <c r="B58" s="16"/>
      <c r="C58" s="18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7"/>
      <c r="X58" s="17"/>
      <c r="Y58" s="17"/>
      <c r="Z58" s="17"/>
    </row>
    <row r="59" spans="1:26" ht="12" customHeight="1" x14ac:dyDescent="0.2">
      <c r="A59" s="16"/>
      <c r="B59" s="16"/>
      <c r="C59" s="18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7"/>
      <c r="X59" s="17"/>
      <c r="Y59" s="17"/>
      <c r="Z59" s="17"/>
    </row>
    <row r="60" spans="1:26" ht="12" customHeight="1" x14ac:dyDescent="0.2">
      <c r="A60" s="16"/>
      <c r="B60" s="16"/>
      <c r="C60" s="18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7"/>
      <c r="X60" s="17"/>
      <c r="Y60" s="17"/>
      <c r="Z60" s="17"/>
    </row>
    <row r="61" spans="1:26" ht="12" customHeight="1" x14ac:dyDescent="0.2">
      <c r="A61" s="16"/>
      <c r="B61" s="16"/>
      <c r="C61" s="18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7"/>
      <c r="X61" s="17"/>
      <c r="Y61" s="17"/>
      <c r="Z61" s="17"/>
    </row>
    <row r="62" spans="1:26" ht="12" customHeight="1" x14ac:dyDescent="0.2">
      <c r="A62" s="17"/>
      <c r="B62" s="17"/>
      <c r="C62" s="19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" customHeight="1" x14ac:dyDescent="0.2">
      <c r="A63" s="17"/>
      <c r="B63" s="17"/>
      <c r="C63" s="19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" customHeight="1" x14ac:dyDescent="0.2">
      <c r="A64" s="17"/>
      <c r="B64" s="17"/>
      <c r="C64" s="19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" customHeight="1" x14ac:dyDescent="0.2">
      <c r="A65" s="17"/>
      <c r="B65" s="17"/>
      <c r="C65" s="19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" customHeight="1" x14ac:dyDescent="0.2">
      <c r="A66" s="17"/>
      <c r="B66" s="17"/>
      <c r="C66" s="19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" customHeight="1" x14ac:dyDescent="0.2">
      <c r="A67" s="17"/>
      <c r="B67" s="17"/>
      <c r="C67" s="19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" customHeight="1" x14ac:dyDescent="0.2">
      <c r="A68" s="17"/>
      <c r="B68" s="17"/>
      <c r="C68" s="19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" customHeight="1" x14ac:dyDescent="0.2">
      <c r="A69" s="17"/>
      <c r="B69" s="17"/>
      <c r="C69" s="19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" customHeight="1" x14ac:dyDescent="0.2">
      <c r="A70" s="17"/>
      <c r="B70" s="17"/>
      <c r="C70" s="19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" customHeight="1" x14ac:dyDescent="0.2">
      <c r="A71" s="17"/>
      <c r="B71" s="17"/>
      <c r="C71" s="19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" customHeight="1" x14ac:dyDescent="0.2">
      <c r="A72" s="17"/>
      <c r="B72" s="17"/>
      <c r="C72" s="19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" customHeight="1" x14ac:dyDescent="0.2">
      <c r="A73" s="17"/>
      <c r="B73" s="17"/>
      <c r="C73" s="19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" customHeight="1" x14ac:dyDescent="0.2">
      <c r="A74" s="17"/>
      <c r="B74" s="17"/>
      <c r="C74" s="19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" customHeight="1" x14ac:dyDescent="0.2">
      <c r="A75" s="17"/>
      <c r="B75" s="17"/>
      <c r="C75" s="19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" customHeight="1" x14ac:dyDescent="0.2">
      <c r="A76" s="17"/>
      <c r="B76" s="17"/>
      <c r="C76" s="19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" customHeight="1" x14ac:dyDescent="0.2">
      <c r="A77" s="17"/>
      <c r="B77" s="17"/>
      <c r="C77" s="19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" customHeight="1" x14ac:dyDescent="0.2">
      <c r="A78" s="17"/>
      <c r="B78" s="17"/>
      <c r="C78" s="19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" customHeight="1" x14ac:dyDescent="0.2">
      <c r="A79" s="17"/>
      <c r="B79" s="17"/>
      <c r="C79" s="19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" customHeight="1" x14ac:dyDescent="0.2">
      <c r="A80" s="17"/>
      <c r="B80" s="17"/>
      <c r="C80" s="19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" customHeight="1" x14ac:dyDescent="0.2">
      <c r="A81" s="17"/>
      <c r="B81" s="17"/>
      <c r="C81" s="19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" customHeight="1" x14ac:dyDescent="0.2">
      <c r="A82" s="17"/>
      <c r="B82" s="17"/>
      <c r="C82" s="19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" customHeight="1" x14ac:dyDescent="0.2">
      <c r="A83" s="17"/>
      <c r="B83" s="17"/>
      <c r="C83" s="19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" customHeight="1" x14ac:dyDescent="0.2">
      <c r="A84" s="17"/>
      <c r="B84" s="17"/>
      <c r="C84" s="19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" customHeight="1" x14ac:dyDescent="0.2">
      <c r="A85" s="17"/>
      <c r="B85" s="17"/>
      <c r="C85" s="19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" customHeight="1" x14ac:dyDescent="0.2">
      <c r="A86" s="17"/>
      <c r="B86" s="17"/>
      <c r="C86" s="19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" customHeight="1" x14ac:dyDescent="0.2">
      <c r="A87" s="17"/>
      <c r="B87" s="17"/>
      <c r="C87" s="19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" customHeight="1" x14ac:dyDescent="0.2">
      <c r="A88" s="17"/>
      <c r="B88" s="17"/>
      <c r="C88" s="19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" customHeight="1" x14ac:dyDescent="0.2">
      <c r="A89" s="17"/>
      <c r="B89" s="17"/>
      <c r="C89" s="19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" customHeight="1" x14ac:dyDescent="0.2">
      <c r="A90" s="17"/>
      <c r="B90" s="17"/>
      <c r="C90" s="19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" customHeight="1" x14ac:dyDescent="0.2">
      <c r="A91" s="17"/>
      <c r="B91" s="17"/>
      <c r="C91" s="19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" customHeight="1" x14ac:dyDescent="0.2">
      <c r="A92" s="17"/>
      <c r="B92" s="17"/>
      <c r="C92" s="19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" customHeight="1" x14ac:dyDescent="0.2">
      <c r="A93" s="17"/>
      <c r="B93" s="17"/>
      <c r="C93" s="19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" customHeight="1" x14ac:dyDescent="0.2">
      <c r="A94" s="17"/>
      <c r="B94" s="17"/>
      <c r="C94" s="19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" customHeight="1" x14ac:dyDescent="0.2">
      <c r="A95" s="17"/>
      <c r="B95" s="17"/>
      <c r="C95" s="19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" customHeight="1" x14ac:dyDescent="0.2">
      <c r="A96" s="17"/>
      <c r="B96" s="17"/>
      <c r="C96" s="19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" customHeight="1" x14ac:dyDescent="0.2">
      <c r="A97" s="17"/>
      <c r="B97" s="17"/>
      <c r="C97" s="19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" customHeight="1" x14ac:dyDescent="0.2">
      <c r="A98" s="17"/>
      <c r="B98" s="17"/>
      <c r="C98" s="19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" customHeight="1" x14ac:dyDescent="0.2">
      <c r="A99" s="17"/>
      <c r="B99" s="17"/>
      <c r="C99" s="19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" customHeight="1" x14ac:dyDescent="0.2">
      <c r="A100" s="17"/>
      <c r="B100" s="17"/>
      <c r="C100" s="19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" customHeight="1" x14ac:dyDescent="0.2">
      <c r="A101" s="17"/>
      <c r="B101" s="17"/>
      <c r="C101" s="19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" customHeight="1" x14ac:dyDescent="0.2">
      <c r="A102" s="17"/>
      <c r="B102" s="17"/>
      <c r="C102" s="19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" customHeight="1" x14ac:dyDescent="0.2">
      <c r="A103" s="17"/>
      <c r="B103" s="17"/>
      <c r="C103" s="19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" customHeight="1" x14ac:dyDescent="0.2">
      <c r="A104" s="17"/>
      <c r="B104" s="17"/>
      <c r="C104" s="19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" customHeight="1" x14ac:dyDescent="0.2">
      <c r="A105" s="17"/>
      <c r="B105" s="17"/>
      <c r="C105" s="19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" customHeight="1" x14ac:dyDescent="0.2">
      <c r="A106" s="17"/>
      <c r="B106" s="17"/>
      <c r="C106" s="19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" customHeight="1" x14ac:dyDescent="0.2">
      <c r="A107" s="17"/>
      <c r="B107" s="17"/>
      <c r="C107" s="19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" customHeight="1" x14ac:dyDescent="0.2">
      <c r="A108" s="17"/>
      <c r="B108" s="17"/>
      <c r="C108" s="19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" customHeight="1" x14ac:dyDescent="0.2">
      <c r="A109" s="17"/>
      <c r="B109" s="17"/>
      <c r="C109" s="19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" customHeight="1" x14ac:dyDescent="0.2">
      <c r="A110" s="17"/>
      <c r="B110" s="17"/>
      <c r="C110" s="19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" customHeight="1" x14ac:dyDescent="0.2">
      <c r="A111" s="17"/>
      <c r="B111" s="17"/>
      <c r="C111" s="19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" customHeight="1" x14ac:dyDescent="0.2">
      <c r="A112" s="17"/>
      <c r="B112" s="17"/>
      <c r="C112" s="19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" customHeight="1" x14ac:dyDescent="0.2">
      <c r="A113" s="17"/>
      <c r="B113" s="17"/>
      <c r="C113" s="19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" customHeight="1" x14ac:dyDescent="0.2">
      <c r="A114" s="17"/>
      <c r="B114" s="17"/>
      <c r="C114" s="19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" customHeight="1" x14ac:dyDescent="0.2">
      <c r="A115" s="17"/>
      <c r="B115" s="17"/>
      <c r="C115" s="19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" customHeight="1" x14ac:dyDescent="0.2">
      <c r="A116" s="17"/>
      <c r="B116" s="17"/>
      <c r="C116" s="19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" customHeight="1" x14ac:dyDescent="0.2">
      <c r="A117" s="17"/>
      <c r="B117" s="17"/>
      <c r="C117" s="19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" customHeight="1" x14ac:dyDescent="0.2">
      <c r="A118" s="17"/>
      <c r="B118" s="17"/>
      <c r="C118" s="19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" customHeight="1" x14ac:dyDescent="0.2">
      <c r="A119" s="17"/>
      <c r="B119" s="17"/>
      <c r="C119" s="19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" customHeight="1" x14ac:dyDescent="0.2">
      <c r="A120" s="17"/>
      <c r="B120" s="17"/>
      <c r="C120" s="19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" customHeight="1" x14ac:dyDescent="0.2">
      <c r="A121" s="17"/>
      <c r="B121" s="17"/>
      <c r="C121" s="19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" customHeight="1" x14ac:dyDescent="0.2">
      <c r="A122" s="17"/>
      <c r="B122" s="17"/>
      <c r="C122" s="19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" customHeight="1" x14ac:dyDescent="0.2">
      <c r="A123" s="17"/>
      <c r="B123" s="17"/>
      <c r="C123" s="19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" customHeight="1" x14ac:dyDescent="0.2">
      <c r="A124" s="17"/>
      <c r="B124" s="17"/>
      <c r="C124" s="19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" customHeight="1" x14ac:dyDescent="0.2">
      <c r="A125" s="17"/>
      <c r="B125" s="17"/>
      <c r="C125" s="19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" customHeight="1" x14ac:dyDescent="0.2">
      <c r="A126" s="17"/>
      <c r="B126" s="17"/>
      <c r="C126" s="19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" customHeight="1" x14ac:dyDescent="0.2">
      <c r="A127" s="17"/>
      <c r="B127" s="17"/>
      <c r="C127" s="19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" customHeight="1" x14ac:dyDescent="0.2">
      <c r="A128" s="17"/>
      <c r="B128" s="17"/>
      <c r="C128" s="19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" customHeight="1" x14ac:dyDescent="0.2">
      <c r="A129" s="17"/>
      <c r="B129" s="17"/>
      <c r="C129" s="19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" customHeight="1" x14ac:dyDescent="0.2">
      <c r="A130" s="17"/>
      <c r="B130" s="17"/>
      <c r="C130" s="19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" customHeight="1" x14ac:dyDescent="0.2">
      <c r="A131" s="17"/>
      <c r="B131" s="17"/>
      <c r="C131" s="19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" customHeight="1" x14ac:dyDescent="0.2">
      <c r="A132" s="17"/>
      <c r="B132" s="17"/>
      <c r="C132" s="19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" customHeight="1" x14ac:dyDescent="0.2">
      <c r="A133" s="17"/>
      <c r="B133" s="17"/>
      <c r="C133" s="19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" customHeight="1" x14ac:dyDescent="0.2">
      <c r="A134" s="17"/>
      <c r="B134" s="17"/>
      <c r="C134" s="19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" customHeight="1" x14ac:dyDescent="0.2">
      <c r="A135" s="17"/>
      <c r="B135" s="17"/>
      <c r="C135" s="19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" customHeight="1" x14ac:dyDescent="0.2">
      <c r="A136" s="17"/>
      <c r="B136" s="17"/>
      <c r="C136" s="19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" customHeight="1" x14ac:dyDescent="0.2">
      <c r="A137" s="17"/>
      <c r="B137" s="17"/>
      <c r="C137" s="19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" customHeight="1" x14ac:dyDescent="0.2">
      <c r="A138" s="17"/>
      <c r="B138" s="17"/>
      <c r="C138" s="19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" customHeight="1" x14ac:dyDescent="0.2">
      <c r="A139" s="17"/>
      <c r="B139" s="17"/>
      <c r="C139" s="19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" customHeight="1" x14ac:dyDescent="0.2">
      <c r="A140" s="17"/>
      <c r="B140" s="17"/>
      <c r="C140" s="19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" customHeight="1" x14ac:dyDescent="0.2">
      <c r="A141" s="17"/>
      <c r="B141" s="17"/>
      <c r="C141" s="19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" customHeight="1" x14ac:dyDescent="0.2">
      <c r="A142" s="17"/>
      <c r="B142" s="17"/>
      <c r="C142" s="19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" customHeight="1" x14ac:dyDescent="0.2">
      <c r="A143" s="17"/>
      <c r="B143" s="17"/>
      <c r="C143" s="19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" customHeight="1" x14ac:dyDescent="0.2">
      <c r="A144" s="17"/>
      <c r="B144" s="17"/>
      <c r="C144" s="19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" customHeight="1" x14ac:dyDescent="0.2">
      <c r="A145" s="17"/>
      <c r="B145" s="17"/>
      <c r="C145" s="19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" customHeight="1" x14ac:dyDescent="0.2">
      <c r="A146" s="17"/>
      <c r="B146" s="17"/>
      <c r="C146" s="19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" customHeight="1" x14ac:dyDescent="0.2">
      <c r="A147" s="17"/>
      <c r="B147" s="17"/>
      <c r="C147" s="19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" customHeight="1" x14ac:dyDescent="0.2">
      <c r="A148" s="17"/>
      <c r="B148" s="17"/>
      <c r="C148" s="19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" customHeight="1" x14ac:dyDescent="0.2">
      <c r="A149" s="17"/>
      <c r="B149" s="17"/>
      <c r="C149" s="19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" customHeight="1" x14ac:dyDescent="0.2">
      <c r="A150" s="17"/>
      <c r="B150" s="17"/>
      <c r="C150" s="19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" customHeight="1" x14ac:dyDescent="0.2">
      <c r="A151" s="17"/>
      <c r="B151" s="17"/>
      <c r="C151" s="19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" customHeight="1" x14ac:dyDescent="0.2">
      <c r="A152" s="17"/>
      <c r="B152" s="17"/>
      <c r="C152" s="19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" customHeight="1" x14ac:dyDescent="0.2">
      <c r="A153" s="17"/>
      <c r="B153" s="17"/>
      <c r="C153" s="19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" customHeight="1" x14ac:dyDescent="0.2">
      <c r="A154" s="17"/>
      <c r="B154" s="17"/>
      <c r="C154" s="19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" customHeight="1" x14ac:dyDescent="0.2">
      <c r="A155" s="17"/>
      <c r="B155" s="17"/>
      <c r="C155" s="19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" customHeight="1" x14ac:dyDescent="0.2">
      <c r="A156" s="17"/>
      <c r="B156" s="17"/>
      <c r="C156" s="19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" customHeight="1" x14ac:dyDescent="0.2">
      <c r="A157" s="17"/>
      <c r="B157" s="17"/>
      <c r="C157" s="19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" customHeight="1" x14ac:dyDescent="0.2">
      <c r="A158" s="17"/>
      <c r="B158" s="17"/>
      <c r="C158" s="19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" customHeight="1" x14ac:dyDescent="0.2">
      <c r="A159" s="17"/>
      <c r="B159" s="17"/>
      <c r="C159" s="19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" customHeight="1" x14ac:dyDescent="0.2">
      <c r="A160" s="17"/>
      <c r="B160" s="17"/>
      <c r="C160" s="19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" customHeight="1" x14ac:dyDescent="0.2">
      <c r="A161" s="17"/>
      <c r="B161" s="17"/>
      <c r="C161" s="19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" customHeight="1" x14ac:dyDescent="0.2">
      <c r="A162" s="17"/>
      <c r="B162" s="17"/>
      <c r="C162" s="19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" customHeight="1" x14ac:dyDescent="0.2">
      <c r="A163" s="17"/>
      <c r="B163" s="17"/>
      <c r="C163" s="19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" customHeight="1" x14ac:dyDescent="0.2">
      <c r="A164" s="17"/>
      <c r="B164" s="17"/>
      <c r="C164" s="19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" customHeight="1" x14ac:dyDescent="0.2">
      <c r="A165" s="17"/>
      <c r="B165" s="17"/>
      <c r="C165" s="19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" customHeight="1" x14ac:dyDescent="0.2">
      <c r="A166" s="17"/>
      <c r="B166" s="17"/>
      <c r="C166" s="19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" customHeight="1" x14ac:dyDescent="0.2">
      <c r="A167" s="17"/>
      <c r="B167" s="17"/>
      <c r="C167" s="19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" customHeight="1" x14ac:dyDescent="0.2">
      <c r="A168" s="17"/>
      <c r="B168" s="17"/>
      <c r="C168" s="19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" customHeight="1" x14ac:dyDescent="0.2">
      <c r="A169" s="17"/>
      <c r="B169" s="17"/>
      <c r="C169" s="19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" customHeight="1" x14ac:dyDescent="0.2">
      <c r="A170" s="17"/>
      <c r="B170" s="17"/>
      <c r="C170" s="19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" customHeight="1" x14ac:dyDescent="0.2">
      <c r="A171" s="17"/>
      <c r="B171" s="17"/>
      <c r="C171" s="19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" customHeight="1" x14ac:dyDescent="0.2">
      <c r="A172" s="17"/>
      <c r="B172" s="17"/>
      <c r="C172" s="19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" customHeight="1" x14ac:dyDescent="0.2">
      <c r="A173" s="17"/>
      <c r="B173" s="17"/>
      <c r="C173" s="19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" customHeight="1" x14ac:dyDescent="0.2">
      <c r="A174" s="17"/>
      <c r="B174" s="17"/>
      <c r="C174" s="19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" customHeight="1" x14ac:dyDescent="0.2">
      <c r="A175" s="17"/>
      <c r="B175" s="17"/>
      <c r="C175" s="19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" customHeight="1" x14ac:dyDescent="0.2">
      <c r="A176" s="17"/>
      <c r="B176" s="17"/>
      <c r="C176" s="19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" customHeight="1" x14ac:dyDescent="0.2">
      <c r="A177" s="17"/>
      <c r="B177" s="17"/>
      <c r="C177" s="19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" customHeight="1" x14ac:dyDescent="0.2">
      <c r="A178" s="17"/>
      <c r="B178" s="17"/>
      <c r="C178" s="19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" customHeight="1" x14ac:dyDescent="0.2">
      <c r="A179" s="17"/>
      <c r="B179" s="17"/>
      <c r="C179" s="19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" customHeight="1" x14ac:dyDescent="0.2">
      <c r="A180" s="17"/>
      <c r="B180" s="17"/>
      <c r="C180" s="19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" customHeight="1" x14ac:dyDescent="0.2">
      <c r="A181" s="17"/>
      <c r="B181" s="17"/>
      <c r="C181" s="19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" customHeight="1" x14ac:dyDescent="0.2">
      <c r="A182" s="17"/>
      <c r="B182" s="17"/>
      <c r="C182" s="19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" customHeight="1" x14ac:dyDescent="0.2">
      <c r="A183" s="17"/>
      <c r="B183" s="17"/>
      <c r="C183" s="19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" customHeight="1" x14ac:dyDescent="0.2">
      <c r="A184" s="17"/>
      <c r="B184" s="17"/>
      <c r="C184" s="19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" customHeight="1" x14ac:dyDescent="0.2">
      <c r="A185" s="17"/>
      <c r="B185" s="17"/>
      <c r="C185" s="19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" customHeight="1" x14ac:dyDescent="0.2">
      <c r="A186" s="17"/>
      <c r="B186" s="17"/>
      <c r="C186" s="19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" customHeight="1" x14ac:dyDescent="0.2">
      <c r="A187" s="17"/>
      <c r="B187" s="17"/>
      <c r="C187" s="19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" customHeight="1" x14ac:dyDescent="0.2">
      <c r="A188" s="17"/>
      <c r="B188" s="17"/>
      <c r="C188" s="19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" customHeight="1" x14ac:dyDescent="0.2">
      <c r="A189" s="17"/>
      <c r="B189" s="17"/>
      <c r="C189" s="19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" customHeight="1" x14ac:dyDescent="0.2">
      <c r="A190" s="17"/>
      <c r="B190" s="17"/>
      <c r="C190" s="19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" customHeight="1" x14ac:dyDescent="0.2">
      <c r="A191" s="17"/>
      <c r="B191" s="17"/>
      <c r="C191" s="19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" customHeight="1" x14ac:dyDescent="0.2">
      <c r="A192" s="17"/>
      <c r="B192" s="17"/>
      <c r="C192" s="19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" customHeight="1" x14ac:dyDescent="0.2">
      <c r="A193" s="17"/>
      <c r="B193" s="17"/>
      <c r="C193" s="19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" customHeight="1" x14ac:dyDescent="0.2">
      <c r="A194" s="17"/>
      <c r="B194" s="17"/>
      <c r="C194" s="19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" customHeight="1" x14ac:dyDescent="0.2">
      <c r="A195" s="17"/>
      <c r="B195" s="17"/>
      <c r="C195" s="19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" customHeight="1" x14ac:dyDescent="0.2">
      <c r="A196" s="17"/>
      <c r="B196" s="17"/>
      <c r="C196" s="19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" customHeight="1" x14ac:dyDescent="0.2">
      <c r="A197" s="17"/>
      <c r="B197" s="17"/>
      <c r="C197" s="19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" customHeight="1" x14ac:dyDescent="0.2">
      <c r="A198" s="17"/>
      <c r="B198" s="17"/>
      <c r="C198" s="19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" customHeight="1" x14ac:dyDescent="0.2">
      <c r="A199" s="17"/>
      <c r="B199" s="17"/>
      <c r="C199" s="19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" customHeight="1" x14ac:dyDescent="0.2">
      <c r="A200" s="17"/>
      <c r="B200" s="17"/>
      <c r="C200" s="19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" customHeight="1" x14ac:dyDescent="0.2">
      <c r="A201" s="17"/>
      <c r="B201" s="17"/>
      <c r="C201" s="19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" customHeight="1" x14ac:dyDescent="0.2">
      <c r="A202" s="17"/>
      <c r="B202" s="17"/>
      <c r="C202" s="19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" customHeight="1" x14ac:dyDescent="0.2">
      <c r="A203" s="17"/>
      <c r="B203" s="17"/>
      <c r="C203" s="19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" customHeight="1" x14ac:dyDescent="0.2">
      <c r="A204" s="17"/>
      <c r="B204" s="17"/>
      <c r="C204" s="19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" customHeight="1" x14ac:dyDescent="0.2">
      <c r="A205" s="17"/>
      <c r="B205" s="17"/>
      <c r="C205" s="19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" customHeight="1" x14ac:dyDescent="0.2">
      <c r="A206" s="17"/>
      <c r="B206" s="17"/>
      <c r="C206" s="19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" customHeight="1" x14ac:dyDescent="0.2">
      <c r="A207" s="17"/>
      <c r="B207" s="17"/>
      <c r="C207" s="19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" customHeight="1" x14ac:dyDescent="0.2">
      <c r="A208" s="17"/>
      <c r="B208" s="17"/>
      <c r="C208" s="19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" customHeight="1" x14ac:dyDescent="0.2">
      <c r="A209" s="17"/>
      <c r="B209" s="17"/>
      <c r="C209" s="19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" customHeight="1" x14ac:dyDescent="0.2">
      <c r="A210" s="17"/>
      <c r="B210" s="17"/>
      <c r="C210" s="19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" customHeight="1" x14ac:dyDescent="0.2">
      <c r="A211" s="17"/>
      <c r="B211" s="17"/>
      <c r="C211" s="19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" customHeight="1" x14ac:dyDescent="0.2">
      <c r="A212" s="17"/>
      <c r="B212" s="17"/>
      <c r="C212" s="19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" customHeight="1" x14ac:dyDescent="0.2">
      <c r="A213" s="17"/>
      <c r="B213" s="17"/>
      <c r="C213" s="19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" customHeight="1" x14ac:dyDescent="0.2">
      <c r="A214" s="17"/>
      <c r="B214" s="17"/>
      <c r="C214" s="19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" customHeight="1" x14ac:dyDescent="0.2">
      <c r="A215" s="17"/>
      <c r="B215" s="17"/>
      <c r="C215" s="19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" customHeight="1" x14ac:dyDescent="0.2">
      <c r="A216" s="17"/>
      <c r="B216" s="17"/>
      <c r="C216" s="19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" customHeight="1" x14ac:dyDescent="0.2">
      <c r="A217" s="17"/>
      <c r="B217" s="17"/>
      <c r="C217" s="19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" customHeight="1" x14ac:dyDescent="0.2">
      <c r="A218" s="17"/>
      <c r="B218" s="17"/>
      <c r="C218" s="19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" customHeight="1" x14ac:dyDescent="0.2">
      <c r="A219" s="17"/>
      <c r="B219" s="17"/>
      <c r="C219" s="19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" customHeight="1" x14ac:dyDescent="0.2">
      <c r="A220" s="17"/>
      <c r="B220" s="17"/>
      <c r="C220" s="19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" customHeight="1" x14ac:dyDescent="0.2">
      <c r="A221" s="17"/>
      <c r="B221" s="17"/>
      <c r="C221" s="19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" customHeight="1" x14ac:dyDescent="0.2">
      <c r="A222" s="17"/>
      <c r="B222" s="17"/>
      <c r="C222" s="19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" customHeight="1" x14ac:dyDescent="0.2">
      <c r="A223" s="17"/>
      <c r="B223" s="17"/>
      <c r="C223" s="19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" customHeight="1" x14ac:dyDescent="0.2">
      <c r="A224" s="17"/>
      <c r="B224" s="17"/>
      <c r="C224" s="19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" customHeight="1" x14ac:dyDescent="0.2">
      <c r="A225" s="17"/>
      <c r="B225" s="17"/>
      <c r="C225" s="19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" customHeight="1" x14ac:dyDescent="0.2">
      <c r="A226" s="17"/>
      <c r="B226" s="17"/>
      <c r="C226" s="19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" customHeight="1" x14ac:dyDescent="0.2">
      <c r="A227" s="17"/>
      <c r="B227" s="17"/>
      <c r="C227" s="19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" customHeight="1" x14ac:dyDescent="0.2">
      <c r="A228" s="17"/>
      <c r="B228" s="17"/>
      <c r="C228" s="19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" customHeight="1" x14ac:dyDescent="0.2">
      <c r="A229" s="17"/>
      <c r="B229" s="17"/>
      <c r="C229" s="19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" customHeight="1" x14ac:dyDescent="0.2">
      <c r="A230" s="17"/>
      <c r="B230" s="17"/>
      <c r="C230" s="19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" customHeight="1" x14ac:dyDescent="0.2">
      <c r="A231" s="17"/>
      <c r="B231" s="17"/>
      <c r="C231" s="19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" customHeight="1" x14ac:dyDescent="0.2">
      <c r="A232" s="17"/>
      <c r="B232" s="17"/>
      <c r="C232" s="19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" customHeight="1" x14ac:dyDescent="0.2">
      <c r="A233" s="17"/>
      <c r="B233" s="17"/>
      <c r="C233" s="19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" customHeight="1" x14ac:dyDescent="0.2">
      <c r="A234" s="17"/>
      <c r="B234" s="17"/>
      <c r="C234" s="19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" customHeight="1" x14ac:dyDescent="0.2">
      <c r="A235" s="17"/>
      <c r="B235" s="17"/>
      <c r="C235" s="19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" customHeight="1" x14ac:dyDescent="0.2">
      <c r="A236" s="17"/>
      <c r="B236" s="17"/>
      <c r="C236" s="19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" customHeight="1" x14ac:dyDescent="0.2">
      <c r="A237" s="17"/>
      <c r="B237" s="17"/>
      <c r="C237" s="19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" customHeight="1" x14ac:dyDescent="0.2">
      <c r="A238" s="17"/>
      <c r="B238" s="17"/>
      <c r="C238" s="19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" customHeight="1" x14ac:dyDescent="0.2">
      <c r="A239" s="17"/>
      <c r="B239" s="17"/>
      <c r="C239" s="19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" customHeight="1" x14ac:dyDescent="0.2">
      <c r="A240" s="17"/>
      <c r="B240" s="17"/>
      <c r="C240" s="19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" customHeight="1" x14ac:dyDescent="0.2">
      <c r="A241" s="17"/>
      <c r="B241" s="17"/>
      <c r="C241" s="19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" customHeight="1" x14ac:dyDescent="0.2">
      <c r="A242" s="17"/>
      <c r="B242" s="17"/>
      <c r="C242" s="19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" customHeight="1" x14ac:dyDescent="0.2">
      <c r="A243" s="17"/>
      <c r="B243" s="17"/>
      <c r="C243" s="19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" customHeight="1" x14ac:dyDescent="0.2">
      <c r="A244" s="17"/>
      <c r="B244" s="17"/>
      <c r="C244" s="19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" customHeight="1" x14ac:dyDescent="0.2">
      <c r="A245" s="17"/>
      <c r="B245" s="17"/>
      <c r="C245" s="19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" customHeight="1" x14ac:dyDescent="0.2">
      <c r="A246" s="17"/>
      <c r="B246" s="17"/>
      <c r="C246" s="19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" customHeight="1" x14ac:dyDescent="0.2">
      <c r="A247" s="17"/>
      <c r="B247" s="17"/>
      <c r="C247" s="19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" customHeight="1" x14ac:dyDescent="0.2">
      <c r="A248" s="17"/>
      <c r="B248" s="17"/>
      <c r="C248" s="19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" customHeight="1" x14ac:dyDescent="0.2">
      <c r="A249" s="17"/>
      <c r="B249" s="17"/>
      <c r="C249" s="19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" customHeight="1" x14ac:dyDescent="0.2">
      <c r="A250" s="17"/>
      <c r="B250" s="17"/>
      <c r="C250" s="19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" customHeight="1" x14ac:dyDescent="0.2">
      <c r="A251" s="17"/>
      <c r="B251" s="17"/>
      <c r="C251" s="19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" customHeight="1" x14ac:dyDescent="0.2">
      <c r="A252" s="17"/>
      <c r="B252" s="17"/>
      <c r="C252" s="19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" customHeight="1" x14ac:dyDescent="0.2">
      <c r="A253" s="17"/>
      <c r="B253" s="17"/>
      <c r="C253" s="19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" customHeight="1" x14ac:dyDescent="0.2">
      <c r="A254" s="17"/>
      <c r="B254" s="17"/>
      <c r="C254" s="19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" customHeight="1" x14ac:dyDescent="0.2">
      <c r="A255" s="17"/>
      <c r="B255" s="17"/>
      <c r="C255" s="19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" customHeight="1" x14ac:dyDescent="0.2">
      <c r="A256" s="17"/>
      <c r="B256" s="17"/>
      <c r="C256" s="19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" customHeight="1" x14ac:dyDescent="0.2">
      <c r="A257" s="17"/>
      <c r="B257" s="17"/>
      <c r="C257" s="19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" customHeight="1" x14ac:dyDescent="0.2">
      <c r="A258" s="17"/>
      <c r="B258" s="17"/>
      <c r="C258" s="19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" customHeight="1" x14ac:dyDescent="0.2">
      <c r="A259" s="17"/>
      <c r="B259" s="17"/>
      <c r="C259" s="19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" customHeight="1" x14ac:dyDescent="0.2">
      <c r="A260" s="17"/>
      <c r="B260" s="17"/>
      <c r="C260" s="19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" customHeight="1" x14ac:dyDescent="0.2">
      <c r="A261" s="17"/>
      <c r="B261" s="17"/>
      <c r="C261" s="19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" customHeight="1" x14ac:dyDescent="0.2">
      <c r="A262" s="17"/>
      <c r="B262" s="17"/>
      <c r="C262" s="19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" customHeight="1" x14ac:dyDescent="0.2">
      <c r="A263" s="17"/>
      <c r="B263" s="17"/>
      <c r="C263" s="19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" customHeight="1" x14ac:dyDescent="0.2">
      <c r="A264" s="17"/>
      <c r="B264" s="17"/>
      <c r="C264" s="19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" customHeight="1" x14ac:dyDescent="0.2">
      <c r="A265" s="17"/>
      <c r="B265" s="17"/>
      <c r="C265" s="19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" customHeight="1" x14ac:dyDescent="0.2">
      <c r="A266" s="17"/>
      <c r="B266" s="17"/>
      <c r="C266" s="19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" customHeight="1" x14ac:dyDescent="0.2">
      <c r="A267" s="17"/>
      <c r="B267" s="17"/>
      <c r="C267" s="19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" customHeight="1" x14ac:dyDescent="0.2">
      <c r="A268" s="17"/>
      <c r="B268" s="17"/>
      <c r="C268" s="19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" customHeight="1" x14ac:dyDescent="0.2">
      <c r="A269" s="17"/>
      <c r="B269" s="17"/>
      <c r="C269" s="19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" customHeight="1" x14ac:dyDescent="0.2">
      <c r="A270" s="17"/>
      <c r="B270" s="17"/>
      <c r="C270" s="19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" customHeight="1" x14ac:dyDescent="0.2">
      <c r="A271" s="17"/>
      <c r="B271" s="17"/>
      <c r="C271" s="19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" customHeight="1" x14ac:dyDescent="0.2">
      <c r="A272" s="17"/>
      <c r="B272" s="17"/>
      <c r="C272" s="19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" customHeight="1" x14ac:dyDescent="0.2">
      <c r="A273" s="17"/>
      <c r="B273" s="17"/>
      <c r="C273" s="19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" customHeight="1" x14ac:dyDescent="0.2">
      <c r="A274" s="17"/>
      <c r="B274" s="17"/>
      <c r="C274" s="19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" customHeight="1" x14ac:dyDescent="0.2">
      <c r="A275" s="17"/>
      <c r="B275" s="17"/>
      <c r="C275" s="19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" customHeight="1" x14ac:dyDescent="0.2">
      <c r="A276" s="17"/>
      <c r="B276" s="17"/>
      <c r="C276" s="19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" customHeight="1" x14ac:dyDescent="0.2">
      <c r="A277" s="17"/>
      <c r="B277" s="17"/>
      <c r="C277" s="19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" customHeight="1" x14ac:dyDescent="0.2">
      <c r="A278" s="17"/>
      <c r="B278" s="17"/>
      <c r="C278" s="19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" customHeight="1" x14ac:dyDescent="0.2">
      <c r="A279" s="17"/>
      <c r="B279" s="17"/>
      <c r="C279" s="19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" customHeight="1" x14ac:dyDescent="0.2">
      <c r="A280" s="17"/>
      <c r="B280" s="17"/>
      <c r="C280" s="19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" customHeight="1" x14ac:dyDescent="0.2">
      <c r="A281" s="17"/>
      <c r="B281" s="17"/>
      <c r="C281" s="19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" customHeight="1" x14ac:dyDescent="0.2">
      <c r="A282" s="17"/>
      <c r="B282" s="17"/>
      <c r="C282" s="19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" customHeight="1" x14ac:dyDescent="0.2">
      <c r="A283" s="17"/>
      <c r="B283" s="17"/>
      <c r="C283" s="19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" customHeight="1" x14ac:dyDescent="0.2">
      <c r="A284" s="17"/>
      <c r="B284" s="17"/>
      <c r="C284" s="19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" customHeight="1" x14ac:dyDescent="0.2">
      <c r="A285" s="17"/>
      <c r="B285" s="17"/>
      <c r="C285" s="19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" customHeight="1" x14ac:dyDescent="0.2">
      <c r="A286" s="17"/>
      <c r="B286" s="17"/>
      <c r="C286" s="19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" customHeight="1" x14ac:dyDescent="0.2">
      <c r="A287" s="17"/>
      <c r="B287" s="17"/>
      <c r="C287" s="19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" customHeight="1" x14ac:dyDescent="0.2">
      <c r="A288" s="17"/>
      <c r="B288" s="17"/>
      <c r="C288" s="19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" customHeight="1" x14ac:dyDescent="0.2">
      <c r="A289" s="17"/>
      <c r="B289" s="17"/>
      <c r="C289" s="19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" customHeight="1" x14ac:dyDescent="0.2">
      <c r="A290" s="17"/>
      <c r="B290" s="17"/>
      <c r="C290" s="19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" customHeight="1" x14ac:dyDescent="0.2">
      <c r="A291" s="17"/>
      <c r="B291" s="17"/>
      <c r="C291" s="19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" customHeight="1" x14ac:dyDescent="0.2">
      <c r="A292" s="17"/>
      <c r="B292" s="17"/>
      <c r="C292" s="19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" customHeight="1" x14ac:dyDescent="0.2">
      <c r="A293" s="17"/>
      <c r="B293" s="17"/>
      <c r="C293" s="19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" customHeight="1" x14ac:dyDescent="0.2">
      <c r="A294" s="17"/>
      <c r="B294" s="17"/>
      <c r="C294" s="19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" customHeight="1" x14ac:dyDescent="0.2">
      <c r="A295" s="17"/>
      <c r="B295" s="17"/>
      <c r="C295" s="19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" customHeight="1" x14ac:dyDescent="0.2">
      <c r="A296" s="17"/>
      <c r="B296" s="17"/>
      <c r="C296" s="19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" customHeight="1" x14ac:dyDescent="0.2">
      <c r="A297" s="17"/>
      <c r="B297" s="17"/>
      <c r="C297" s="19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" customHeight="1" x14ac:dyDescent="0.2">
      <c r="A298" s="17"/>
      <c r="B298" s="17"/>
      <c r="C298" s="19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" customHeight="1" x14ac:dyDescent="0.2">
      <c r="A299" s="17"/>
      <c r="B299" s="17"/>
      <c r="C299" s="19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" customHeight="1" x14ac:dyDescent="0.2">
      <c r="A300" s="17"/>
      <c r="B300" s="17"/>
      <c r="C300" s="19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" customHeight="1" x14ac:dyDescent="0.2">
      <c r="A301" s="17"/>
      <c r="B301" s="17"/>
      <c r="C301" s="19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" customHeight="1" x14ac:dyDescent="0.2">
      <c r="A302" s="17"/>
      <c r="B302" s="17"/>
      <c r="C302" s="19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" customHeight="1" x14ac:dyDescent="0.2">
      <c r="A303" s="17"/>
      <c r="B303" s="17"/>
      <c r="C303" s="19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" customHeight="1" x14ac:dyDescent="0.2">
      <c r="A304" s="17"/>
      <c r="B304" s="17"/>
      <c r="C304" s="19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" customHeight="1" x14ac:dyDescent="0.2">
      <c r="A305" s="17"/>
      <c r="B305" s="17"/>
      <c r="C305" s="19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" customHeight="1" x14ac:dyDescent="0.2">
      <c r="A306" s="17"/>
      <c r="B306" s="17"/>
      <c r="C306" s="19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" customHeight="1" x14ac:dyDescent="0.2">
      <c r="A307" s="17"/>
      <c r="B307" s="17"/>
      <c r="C307" s="19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" customHeight="1" x14ac:dyDescent="0.2">
      <c r="A308" s="17"/>
      <c r="B308" s="17"/>
      <c r="C308" s="19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" customHeight="1" x14ac:dyDescent="0.2">
      <c r="A309" s="17"/>
      <c r="B309" s="17"/>
      <c r="C309" s="19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" customHeight="1" x14ac:dyDescent="0.2">
      <c r="A310" s="17"/>
      <c r="B310" s="17"/>
      <c r="C310" s="19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" customHeight="1" x14ac:dyDescent="0.2">
      <c r="A311" s="17"/>
      <c r="B311" s="17"/>
      <c r="C311" s="19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" customHeight="1" x14ac:dyDescent="0.2">
      <c r="A312" s="17"/>
      <c r="B312" s="17"/>
      <c r="C312" s="19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" customHeight="1" x14ac:dyDescent="0.2">
      <c r="A313" s="17"/>
      <c r="B313" s="17"/>
      <c r="C313" s="19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" customHeight="1" x14ac:dyDescent="0.2">
      <c r="A314" s="17"/>
      <c r="B314" s="17"/>
      <c r="C314" s="19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" customHeight="1" x14ac:dyDescent="0.2">
      <c r="A315" s="17"/>
      <c r="B315" s="17"/>
      <c r="C315" s="19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" customHeight="1" x14ac:dyDescent="0.2">
      <c r="A316" s="17"/>
      <c r="B316" s="17"/>
      <c r="C316" s="19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" customHeight="1" x14ac:dyDescent="0.2">
      <c r="A317" s="17"/>
      <c r="B317" s="17"/>
      <c r="C317" s="19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" customHeight="1" x14ac:dyDescent="0.2">
      <c r="A318" s="17"/>
      <c r="B318" s="17"/>
      <c r="C318" s="19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" customHeight="1" x14ac:dyDescent="0.2">
      <c r="A319" s="17"/>
      <c r="B319" s="17"/>
      <c r="C319" s="19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" customHeight="1" x14ac:dyDescent="0.2">
      <c r="A320" s="17"/>
      <c r="B320" s="17"/>
      <c r="C320" s="19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" customHeight="1" x14ac:dyDescent="0.2">
      <c r="A321" s="17"/>
      <c r="B321" s="17"/>
      <c r="C321" s="19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" customHeight="1" x14ac:dyDescent="0.2">
      <c r="A322" s="17"/>
      <c r="B322" s="17"/>
      <c r="C322" s="19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" customHeight="1" x14ac:dyDescent="0.2">
      <c r="A323" s="17"/>
      <c r="B323" s="17"/>
      <c r="C323" s="19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" customHeight="1" x14ac:dyDescent="0.2">
      <c r="A324" s="17"/>
      <c r="B324" s="17"/>
      <c r="C324" s="19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" customHeight="1" x14ac:dyDescent="0.2">
      <c r="A325" s="17"/>
      <c r="B325" s="17"/>
      <c r="C325" s="19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" customHeight="1" x14ac:dyDescent="0.2">
      <c r="A326" s="17"/>
      <c r="B326" s="17"/>
      <c r="C326" s="19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" customHeight="1" x14ac:dyDescent="0.2">
      <c r="A327" s="17"/>
      <c r="B327" s="17"/>
      <c r="C327" s="19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" customHeight="1" x14ac:dyDescent="0.2">
      <c r="A328" s="17"/>
      <c r="B328" s="17"/>
      <c r="C328" s="19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" customHeight="1" x14ac:dyDescent="0.2">
      <c r="A329" s="17"/>
      <c r="B329" s="17"/>
      <c r="C329" s="19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" customHeight="1" x14ac:dyDescent="0.2">
      <c r="A330" s="17"/>
      <c r="B330" s="17"/>
      <c r="C330" s="19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" customHeight="1" x14ac:dyDescent="0.2">
      <c r="A331" s="17"/>
      <c r="B331" s="17"/>
      <c r="C331" s="19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" customHeight="1" x14ac:dyDescent="0.2">
      <c r="A332" s="17"/>
      <c r="B332" s="17"/>
      <c r="C332" s="19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" customHeight="1" x14ac:dyDescent="0.2">
      <c r="A333" s="17"/>
      <c r="B333" s="17"/>
      <c r="C333" s="19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" customHeight="1" x14ac:dyDescent="0.2">
      <c r="A334" s="17"/>
      <c r="B334" s="17"/>
      <c r="C334" s="19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" customHeight="1" x14ac:dyDescent="0.2">
      <c r="A335" s="17"/>
      <c r="B335" s="17"/>
      <c r="C335" s="19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" customHeight="1" x14ac:dyDescent="0.2">
      <c r="A336" s="17"/>
      <c r="B336" s="17"/>
      <c r="C336" s="19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" customHeight="1" x14ac:dyDescent="0.2">
      <c r="A337" s="17"/>
      <c r="B337" s="17"/>
      <c r="C337" s="19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" customHeight="1" x14ac:dyDescent="0.2">
      <c r="A338" s="17"/>
      <c r="B338" s="17"/>
      <c r="C338" s="19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" customHeight="1" x14ac:dyDescent="0.2">
      <c r="A339" s="17"/>
      <c r="B339" s="17"/>
      <c r="C339" s="19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" customHeight="1" x14ac:dyDescent="0.2">
      <c r="A340" s="17"/>
      <c r="B340" s="17"/>
      <c r="C340" s="19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" customHeight="1" x14ac:dyDescent="0.2">
      <c r="A341" s="17"/>
      <c r="B341" s="17"/>
      <c r="C341" s="19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" customHeight="1" x14ac:dyDescent="0.2">
      <c r="A342" s="17"/>
      <c r="B342" s="17"/>
      <c r="C342" s="19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" customHeight="1" x14ac:dyDescent="0.2">
      <c r="A343" s="17"/>
      <c r="B343" s="17"/>
      <c r="C343" s="19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" customHeight="1" x14ac:dyDescent="0.2">
      <c r="A344" s="17"/>
      <c r="B344" s="17"/>
      <c r="C344" s="19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" customHeight="1" x14ac:dyDescent="0.2">
      <c r="A345" s="17"/>
      <c r="B345" s="17"/>
      <c r="C345" s="19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" customHeight="1" x14ac:dyDescent="0.2">
      <c r="A346" s="17"/>
      <c r="B346" s="17"/>
      <c r="C346" s="19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" customHeight="1" x14ac:dyDescent="0.2">
      <c r="A347" s="17"/>
      <c r="B347" s="17"/>
      <c r="C347" s="19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" customHeight="1" x14ac:dyDescent="0.2">
      <c r="A348" s="17"/>
      <c r="B348" s="17"/>
      <c r="C348" s="19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" customHeight="1" x14ac:dyDescent="0.2">
      <c r="A349" s="17"/>
      <c r="B349" s="17"/>
      <c r="C349" s="19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" customHeight="1" x14ac:dyDescent="0.2">
      <c r="A350" s="17"/>
      <c r="B350" s="17"/>
      <c r="C350" s="19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" customHeight="1" x14ac:dyDescent="0.2">
      <c r="A351" s="17"/>
      <c r="B351" s="17"/>
      <c r="C351" s="19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" customHeight="1" x14ac:dyDescent="0.2">
      <c r="A352" s="17"/>
      <c r="B352" s="17"/>
      <c r="C352" s="19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" customHeight="1" x14ac:dyDescent="0.2">
      <c r="A353" s="17"/>
      <c r="B353" s="17"/>
      <c r="C353" s="19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" customHeight="1" x14ac:dyDescent="0.2">
      <c r="A354" s="17"/>
      <c r="B354" s="17"/>
      <c r="C354" s="19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" customHeight="1" x14ac:dyDescent="0.2">
      <c r="A355" s="17"/>
      <c r="B355" s="17"/>
      <c r="C355" s="19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" customHeight="1" x14ac:dyDescent="0.2">
      <c r="A356" s="17"/>
      <c r="B356" s="17"/>
      <c r="C356" s="19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" customHeight="1" x14ac:dyDescent="0.2">
      <c r="A357" s="17"/>
      <c r="B357" s="17"/>
      <c r="C357" s="19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" customHeight="1" x14ac:dyDescent="0.2">
      <c r="A358" s="17"/>
      <c r="B358" s="17"/>
      <c r="C358" s="19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" customHeight="1" x14ac:dyDescent="0.2">
      <c r="A359" s="17"/>
      <c r="B359" s="17"/>
      <c r="C359" s="19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" customHeight="1" x14ac:dyDescent="0.2">
      <c r="A360" s="17"/>
      <c r="B360" s="17"/>
      <c r="C360" s="19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" customHeight="1" x14ac:dyDescent="0.2">
      <c r="A361" s="17"/>
      <c r="B361" s="17"/>
      <c r="C361" s="19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" customHeight="1" x14ac:dyDescent="0.2">
      <c r="A362" s="17"/>
      <c r="B362" s="17"/>
      <c r="C362" s="19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" customHeight="1" x14ac:dyDescent="0.2">
      <c r="A363" s="17"/>
      <c r="B363" s="17"/>
      <c r="C363" s="19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" customHeight="1" x14ac:dyDescent="0.2">
      <c r="A364" s="17"/>
      <c r="B364" s="17"/>
      <c r="C364" s="19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" customHeight="1" x14ac:dyDescent="0.2">
      <c r="A365" s="17"/>
      <c r="B365" s="17"/>
      <c r="C365" s="19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" customHeight="1" x14ac:dyDescent="0.2">
      <c r="A366" s="17"/>
      <c r="B366" s="17"/>
      <c r="C366" s="19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" customHeight="1" x14ac:dyDescent="0.2">
      <c r="A367" s="17"/>
      <c r="B367" s="17"/>
      <c r="C367" s="19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" customHeight="1" x14ac:dyDescent="0.2">
      <c r="A368" s="17"/>
      <c r="B368" s="17"/>
      <c r="C368" s="19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" customHeight="1" x14ac:dyDescent="0.2">
      <c r="A369" s="17"/>
      <c r="B369" s="17"/>
      <c r="C369" s="19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" customHeight="1" x14ac:dyDescent="0.2">
      <c r="A370" s="17"/>
      <c r="B370" s="17"/>
      <c r="C370" s="19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" customHeight="1" x14ac:dyDescent="0.2">
      <c r="A371" s="17"/>
      <c r="B371" s="17"/>
      <c r="C371" s="19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" customHeight="1" x14ac:dyDescent="0.2">
      <c r="A372" s="17"/>
      <c r="B372" s="17"/>
      <c r="C372" s="19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" customHeight="1" x14ac:dyDescent="0.2">
      <c r="A373" s="17"/>
      <c r="B373" s="17"/>
      <c r="C373" s="19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" customHeight="1" x14ac:dyDescent="0.2">
      <c r="A374" s="17"/>
      <c r="B374" s="17"/>
      <c r="C374" s="19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" customHeight="1" x14ac:dyDescent="0.2">
      <c r="A375" s="17"/>
      <c r="B375" s="17"/>
      <c r="C375" s="19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" customHeight="1" x14ac:dyDescent="0.2">
      <c r="A376" s="17"/>
      <c r="B376" s="17"/>
      <c r="C376" s="19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" customHeight="1" x14ac:dyDescent="0.2">
      <c r="A377" s="17"/>
      <c r="B377" s="17"/>
      <c r="C377" s="19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" customHeight="1" x14ac:dyDescent="0.2">
      <c r="A378" s="17"/>
      <c r="B378" s="17"/>
      <c r="C378" s="19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" customHeight="1" x14ac:dyDescent="0.2">
      <c r="A379" s="17"/>
      <c r="B379" s="17"/>
      <c r="C379" s="19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" customHeight="1" x14ac:dyDescent="0.2">
      <c r="A380" s="17"/>
      <c r="B380" s="17"/>
      <c r="C380" s="19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" customHeight="1" x14ac:dyDescent="0.2">
      <c r="A381" s="17"/>
      <c r="B381" s="17"/>
      <c r="C381" s="19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" customHeight="1" x14ac:dyDescent="0.2">
      <c r="A382" s="17"/>
      <c r="B382" s="17"/>
      <c r="C382" s="19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" customHeight="1" x14ac:dyDescent="0.2">
      <c r="A383" s="17"/>
      <c r="B383" s="17"/>
      <c r="C383" s="19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" customHeight="1" x14ac:dyDescent="0.2">
      <c r="A384" s="17"/>
      <c r="B384" s="17"/>
      <c r="C384" s="19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" customHeight="1" x14ac:dyDescent="0.2">
      <c r="A385" s="17"/>
      <c r="B385" s="17"/>
      <c r="C385" s="19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" customHeight="1" x14ac:dyDescent="0.2">
      <c r="A386" s="17"/>
      <c r="B386" s="17"/>
      <c r="C386" s="19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" customHeight="1" x14ac:dyDescent="0.2">
      <c r="A387" s="17"/>
      <c r="B387" s="17"/>
      <c r="C387" s="19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" customHeight="1" x14ac:dyDescent="0.2">
      <c r="A388" s="17"/>
      <c r="B388" s="17"/>
      <c r="C388" s="19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" customHeight="1" x14ac:dyDescent="0.2">
      <c r="A389" s="17"/>
      <c r="B389" s="17"/>
      <c r="C389" s="19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" customHeight="1" x14ac:dyDescent="0.2">
      <c r="A390" s="17"/>
      <c r="B390" s="17"/>
      <c r="C390" s="19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" customHeight="1" x14ac:dyDescent="0.2">
      <c r="A391" s="17"/>
      <c r="B391" s="17"/>
      <c r="C391" s="19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" customHeight="1" x14ac:dyDescent="0.2">
      <c r="A392" s="17"/>
      <c r="B392" s="17"/>
      <c r="C392" s="19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" customHeight="1" x14ac:dyDescent="0.2">
      <c r="A393" s="17"/>
      <c r="B393" s="17"/>
      <c r="C393" s="19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" customHeight="1" x14ac:dyDescent="0.2">
      <c r="A394" s="17"/>
      <c r="B394" s="17"/>
      <c r="C394" s="19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" customHeight="1" x14ac:dyDescent="0.2">
      <c r="A395" s="17"/>
      <c r="B395" s="17"/>
      <c r="C395" s="19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" customHeight="1" x14ac:dyDescent="0.2">
      <c r="A396" s="17"/>
      <c r="B396" s="17"/>
      <c r="C396" s="19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" customHeight="1" x14ac:dyDescent="0.2">
      <c r="A397" s="17"/>
      <c r="B397" s="17"/>
      <c r="C397" s="19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" customHeight="1" x14ac:dyDescent="0.2">
      <c r="A398" s="17"/>
      <c r="B398" s="17"/>
      <c r="C398" s="19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" customHeight="1" x14ac:dyDescent="0.2">
      <c r="A399" s="17"/>
      <c r="B399" s="17"/>
      <c r="C399" s="19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" customHeight="1" x14ac:dyDescent="0.2">
      <c r="A400" s="17"/>
      <c r="B400" s="17"/>
      <c r="C400" s="19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" customHeight="1" x14ac:dyDescent="0.2">
      <c r="A401" s="17"/>
      <c r="B401" s="17"/>
      <c r="C401" s="19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" customHeight="1" x14ac:dyDescent="0.2">
      <c r="A402" s="17"/>
      <c r="B402" s="17"/>
      <c r="C402" s="19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" customHeight="1" x14ac:dyDescent="0.2">
      <c r="A403" s="17"/>
      <c r="B403" s="17"/>
      <c r="C403" s="19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" customHeight="1" x14ac:dyDescent="0.2">
      <c r="A404" s="17"/>
      <c r="B404" s="17"/>
      <c r="C404" s="19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" customHeight="1" x14ac:dyDescent="0.2">
      <c r="A405" s="17"/>
      <c r="B405" s="17"/>
      <c r="C405" s="19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" customHeight="1" x14ac:dyDescent="0.2">
      <c r="A406" s="17"/>
      <c r="B406" s="17"/>
      <c r="C406" s="19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" customHeight="1" x14ac:dyDescent="0.2">
      <c r="A407" s="17"/>
      <c r="B407" s="17"/>
      <c r="C407" s="19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" customHeight="1" x14ac:dyDescent="0.2">
      <c r="A408" s="17"/>
      <c r="B408" s="17"/>
      <c r="C408" s="19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" customHeight="1" x14ac:dyDescent="0.2">
      <c r="A409" s="17"/>
      <c r="B409" s="17"/>
      <c r="C409" s="19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" customHeight="1" x14ac:dyDescent="0.2">
      <c r="A410" s="17"/>
      <c r="B410" s="17"/>
      <c r="C410" s="19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" customHeight="1" x14ac:dyDescent="0.2">
      <c r="A411" s="17"/>
      <c r="B411" s="17"/>
      <c r="C411" s="19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" customHeight="1" x14ac:dyDescent="0.2">
      <c r="A412" s="17"/>
      <c r="B412" s="17"/>
      <c r="C412" s="19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" customHeight="1" x14ac:dyDescent="0.2">
      <c r="A413" s="17"/>
      <c r="B413" s="17"/>
      <c r="C413" s="19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" customHeight="1" x14ac:dyDescent="0.2">
      <c r="A414" s="17"/>
      <c r="B414" s="17"/>
      <c r="C414" s="19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" customHeight="1" x14ac:dyDescent="0.2">
      <c r="A415" s="17"/>
      <c r="B415" s="17"/>
      <c r="C415" s="19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" customHeight="1" x14ac:dyDescent="0.2">
      <c r="A416" s="17"/>
      <c r="B416" s="17"/>
      <c r="C416" s="19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" customHeight="1" x14ac:dyDescent="0.2">
      <c r="A417" s="17"/>
      <c r="B417" s="17"/>
      <c r="C417" s="19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" customHeight="1" x14ac:dyDescent="0.2">
      <c r="A418" s="17"/>
      <c r="B418" s="17"/>
      <c r="C418" s="19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" customHeight="1" x14ac:dyDescent="0.2">
      <c r="A419" s="17"/>
      <c r="B419" s="17"/>
      <c r="C419" s="19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" customHeight="1" x14ac:dyDescent="0.2">
      <c r="A420" s="17"/>
      <c r="B420" s="17"/>
      <c r="C420" s="19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" customHeight="1" x14ac:dyDescent="0.2">
      <c r="A421" s="17"/>
      <c r="B421" s="17"/>
      <c r="C421" s="19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" customHeight="1" x14ac:dyDescent="0.2">
      <c r="A422" s="17"/>
      <c r="B422" s="17"/>
      <c r="C422" s="19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" customHeight="1" x14ac:dyDescent="0.2">
      <c r="A423" s="17"/>
      <c r="B423" s="17"/>
      <c r="C423" s="19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" customHeight="1" x14ac:dyDescent="0.2">
      <c r="A424" s="17"/>
      <c r="B424" s="17"/>
      <c r="C424" s="19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" customHeight="1" x14ac:dyDescent="0.2">
      <c r="A425" s="17"/>
      <c r="B425" s="17"/>
      <c r="C425" s="19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" customHeight="1" x14ac:dyDescent="0.2">
      <c r="A426" s="17"/>
      <c r="B426" s="17"/>
      <c r="C426" s="19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" customHeight="1" x14ac:dyDescent="0.2">
      <c r="A427" s="17"/>
      <c r="B427" s="17"/>
      <c r="C427" s="19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" customHeight="1" x14ac:dyDescent="0.2">
      <c r="A428" s="17"/>
      <c r="B428" s="17"/>
      <c r="C428" s="19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" customHeight="1" x14ac:dyDescent="0.2">
      <c r="A429" s="17"/>
      <c r="B429" s="17"/>
      <c r="C429" s="19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" customHeight="1" x14ac:dyDescent="0.2">
      <c r="A430" s="17"/>
      <c r="B430" s="17"/>
      <c r="C430" s="19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" customHeight="1" x14ac:dyDescent="0.2">
      <c r="A431" s="17"/>
      <c r="B431" s="17"/>
      <c r="C431" s="19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" customHeight="1" x14ac:dyDescent="0.2">
      <c r="A432" s="17"/>
      <c r="B432" s="17"/>
      <c r="C432" s="19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" customHeight="1" x14ac:dyDescent="0.2">
      <c r="A433" s="17"/>
      <c r="B433" s="17"/>
      <c r="C433" s="19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" customHeight="1" x14ac:dyDescent="0.2">
      <c r="A434" s="17"/>
      <c r="B434" s="17"/>
      <c r="C434" s="19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" customHeight="1" x14ac:dyDescent="0.2">
      <c r="A435" s="17"/>
      <c r="B435" s="17"/>
      <c r="C435" s="19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" customHeight="1" x14ac:dyDescent="0.2">
      <c r="A436" s="17"/>
      <c r="B436" s="17"/>
      <c r="C436" s="19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" customHeight="1" x14ac:dyDescent="0.2">
      <c r="A437" s="17"/>
      <c r="B437" s="17"/>
      <c r="C437" s="19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" customHeight="1" x14ac:dyDescent="0.2">
      <c r="A438" s="17"/>
      <c r="B438" s="17"/>
      <c r="C438" s="19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" customHeight="1" x14ac:dyDescent="0.2">
      <c r="A439" s="17"/>
      <c r="B439" s="17"/>
      <c r="C439" s="19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" customHeight="1" x14ac:dyDescent="0.2">
      <c r="A440" s="17"/>
      <c r="B440" s="17"/>
      <c r="C440" s="19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" customHeight="1" x14ac:dyDescent="0.2">
      <c r="A441" s="17"/>
      <c r="B441" s="17"/>
      <c r="C441" s="19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" customHeight="1" x14ac:dyDescent="0.2">
      <c r="A442" s="17"/>
      <c r="B442" s="17"/>
      <c r="C442" s="19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" customHeight="1" x14ac:dyDescent="0.2">
      <c r="A443" s="17"/>
      <c r="B443" s="17"/>
      <c r="C443" s="19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" customHeight="1" x14ac:dyDescent="0.2">
      <c r="A444" s="17"/>
      <c r="B444" s="17"/>
      <c r="C444" s="19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" customHeight="1" x14ac:dyDescent="0.2">
      <c r="A445" s="17"/>
      <c r="B445" s="17"/>
      <c r="C445" s="19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" customHeight="1" x14ac:dyDescent="0.2">
      <c r="A446" s="17"/>
      <c r="B446" s="17"/>
      <c r="C446" s="19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" customHeight="1" x14ac:dyDescent="0.2">
      <c r="A447" s="17"/>
      <c r="B447" s="17"/>
      <c r="C447" s="19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" customHeight="1" x14ac:dyDescent="0.2">
      <c r="A448" s="17"/>
      <c r="B448" s="17"/>
      <c r="C448" s="19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" customHeight="1" x14ac:dyDescent="0.2">
      <c r="A449" s="17"/>
      <c r="B449" s="17"/>
      <c r="C449" s="19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" customHeight="1" x14ac:dyDescent="0.2">
      <c r="A450" s="17"/>
      <c r="B450" s="17"/>
      <c r="C450" s="19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" customHeight="1" x14ac:dyDescent="0.2">
      <c r="A451" s="17"/>
      <c r="B451" s="17"/>
      <c r="C451" s="19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" customHeight="1" x14ac:dyDescent="0.2">
      <c r="A452" s="17"/>
      <c r="B452" s="17"/>
      <c r="C452" s="19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" customHeight="1" x14ac:dyDescent="0.2">
      <c r="A453" s="17"/>
      <c r="B453" s="17"/>
      <c r="C453" s="19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" customHeight="1" x14ac:dyDescent="0.2">
      <c r="A454" s="17"/>
      <c r="B454" s="17"/>
      <c r="C454" s="19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" customHeight="1" x14ac:dyDescent="0.2">
      <c r="A455" s="17"/>
      <c r="B455" s="17"/>
      <c r="C455" s="19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" customHeight="1" x14ac:dyDescent="0.2">
      <c r="A456" s="17"/>
      <c r="B456" s="17"/>
      <c r="C456" s="19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" customHeight="1" x14ac:dyDescent="0.2">
      <c r="A457" s="17"/>
      <c r="B457" s="17"/>
      <c r="C457" s="19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" customHeight="1" x14ac:dyDescent="0.2">
      <c r="A458" s="17"/>
      <c r="B458" s="17"/>
      <c r="C458" s="19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" customHeight="1" x14ac:dyDescent="0.2">
      <c r="A459" s="17"/>
      <c r="B459" s="17"/>
      <c r="C459" s="19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" customHeight="1" x14ac:dyDescent="0.2">
      <c r="A460" s="17"/>
      <c r="B460" s="17"/>
      <c r="C460" s="19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" customHeight="1" x14ac:dyDescent="0.2">
      <c r="A461" s="17"/>
      <c r="B461" s="17"/>
      <c r="C461" s="19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" customHeight="1" x14ac:dyDescent="0.2">
      <c r="A462" s="17"/>
      <c r="B462" s="17"/>
      <c r="C462" s="19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" customHeight="1" x14ac:dyDescent="0.2">
      <c r="A463" s="17"/>
      <c r="B463" s="17"/>
      <c r="C463" s="19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" customHeight="1" x14ac:dyDescent="0.2">
      <c r="A464" s="17"/>
      <c r="B464" s="17"/>
      <c r="C464" s="19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" customHeight="1" x14ac:dyDescent="0.2">
      <c r="A465" s="17"/>
      <c r="B465" s="17"/>
      <c r="C465" s="19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" customHeight="1" x14ac:dyDescent="0.2">
      <c r="A466" s="17"/>
      <c r="B466" s="17"/>
      <c r="C466" s="19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" customHeight="1" x14ac:dyDescent="0.2">
      <c r="A467" s="17"/>
      <c r="B467" s="17"/>
      <c r="C467" s="19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" customHeight="1" x14ac:dyDescent="0.2">
      <c r="A468" s="17"/>
      <c r="B468" s="17"/>
      <c r="C468" s="19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" customHeight="1" x14ac:dyDescent="0.2">
      <c r="A469" s="17"/>
      <c r="B469" s="17"/>
      <c r="C469" s="19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" customHeight="1" x14ac:dyDescent="0.2">
      <c r="A470" s="17"/>
      <c r="B470" s="17"/>
      <c r="C470" s="19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" customHeight="1" x14ac:dyDescent="0.2">
      <c r="A471" s="17"/>
      <c r="B471" s="17"/>
      <c r="C471" s="19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" customHeight="1" x14ac:dyDescent="0.2">
      <c r="A472" s="17"/>
      <c r="B472" s="17"/>
      <c r="C472" s="19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" customHeight="1" x14ac:dyDescent="0.2">
      <c r="A473" s="17"/>
      <c r="B473" s="17"/>
      <c r="C473" s="19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" customHeight="1" x14ac:dyDescent="0.2">
      <c r="A474" s="17"/>
      <c r="B474" s="17"/>
      <c r="C474" s="19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" customHeight="1" x14ac:dyDescent="0.2">
      <c r="A475" s="17"/>
      <c r="B475" s="17"/>
      <c r="C475" s="19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" customHeight="1" x14ac:dyDescent="0.2">
      <c r="A476" s="17"/>
      <c r="B476" s="17"/>
      <c r="C476" s="19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" customHeight="1" x14ac:dyDescent="0.2">
      <c r="A477" s="17"/>
      <c r="B477" s="17"/>
      <c r="C477" s="19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" customHeight="1" x14ac:dyDescent="0.2">
      <c r="A478" s="17"/>
      <c r="B478" s="17"/>
      <c r="C478" s="19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" customHeight="1" x14ac:dyDescent="0.2">
      <c r="A479" s="17"/>
      <c r="B479" s="17"/>
      <c r="C479" s="19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" customHeight="1" x14ac:dyDescent="0.2">
      <c r="A480" s="17"/>
      <c r="B480" s="17"/>
      <c r="C480" s="19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" customHeight="1" x14ac:dyDescent="0.2">
      <c r="A481" s="17"/>
      <c r="B481" s="17"/>
      <c r="C481" s="19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" customHeight="1" x14ac:dyDescent="0.2">
      <c r="A482" s="17"/>
      <c r="B482" s="17"/>
      <c r="C482" s="19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" customHeight="1" x14ac:dyDescent="0.2">
      <c r="A483" s="17"/>
      <c r="B483" s="17"/>
      <c r="C483" s="19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" customHeight="1" x14ac:dyDescent="0.2">
      <c r="A484" s="17"/>
      <c r="B484" s="17"/>
      <c r="C484" s="19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" customHeight="1" x14ac:dyDescent="0.2">
      <c r="A485" s="17"/>
      <c r="B485" s="17"/>
      <c r="C485" s="19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" customHeight="1" x14ac:dyDescent="0.2">
      <c r="A486" s="17"/>
      <c r="B486" s="17"/>
      <c r="C486" s="19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" customHeight="1" x14ac:dyDescent="0.2">
      <c r="A487" s="17"/>
      <c r="B487" s="17"/>
      <c r="C487" s="19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" customHeight="1" x14ac:dyDescent="0.2">
      <c r="A488" s="17"/>
      <c r="B488" s="17"/>
      <c r="C488" s="19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" customHeight="1" x14ac:dyDescent="0.2">
      <c r="A489" s="17"/>
      <c r="B489" s="17"/>
      <c r="C489" s="19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" customHeight="1" x14ac:dyDescent="0.2">
      <c r="A490" s="17"/>
      <c r="B490" s="17"/>
      <c r="C490" s="19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" customHeight="1" x14ac:dyDescent="0.2">
      <c r="A491" s="17"/>
      <c r="B491" s="17"/>
      <c r="C491" s="19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" customHeight="1" x14ac:dyDescent="0.2">
      <c r="A492" s="17"/>
      <c r="B492" s="17"/>
      <c r="C492" s="19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" customHeight="1" x14ac:dyDescent="0.2">
      <c r="A493" s="17"/>
      <c r="B493" s="17"/>
      <c r="C493" s="19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" customHeight="1" x14ac:dyDescent="0.2">
      <c r="A494" s="17"/>
      <c r="B494" s="17"/>
      <c r="C494" s="19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" customHeight="1" x14ac:dyDescent="0.2">
      <c r="A495" s="17"/>
      <c r="B495" s="17"/>
      <c r="C495" s="19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" customHeight="1" x14ac:dyDescent="0.2">
      <c r="A496" s="17"/>
      <c r="B496" s="17"/>
      <c r="C496" s="19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" customHeight="1" x14ac:dyDescent="0.2">
      <c r="A497" s="17"/>
      <c r="B497" s="17"/>
      <c r="C497" s="19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" customHeight="1" x14ac:dyDescent="0.2">
      <c r="A498" s="17"/>
      <c r="B498" s="17"/>
      <c r="C498" s="19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" customHeight="1" x14ac:dyDescent="0.2">
      <c r="A499" s="17"/>
      <c r="B499" s="17"/>
      <c r="C499" s="19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" customHeight="1" x14ac:dyDescent="0.2">
      <c r="A500" s="17"/>
      <c r="B500" s="17"/>
      <c r="C500" s="19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" customHeight="1" x14ac:dyDescent="0.2">
      <c r="A501" s="17"/>
      <c r="B501" s="17"/>
      <c r="C501" s="19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" customHeight="1" x14ac:dyDescent="0.2">
      <c r="A502" s="17"/>
      <c r="B502" s="17"/>
      <c r="C502" s="19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" customHeight="1" x14ac:dyDescent="0.2">
      <c r="A503" s="17"/>
      <c r="B503" s="17"/>
      <c r="C503" s="19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" customHeight="1" x14ac:dyDescent="0.2">
      <c r="A504" s="17"/>
      <c r="B504" s="17"/>
      <c r="C504" s="19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" customHeight="1" x14ac:dyDescent="0.2">
      <c r="A505" s="17"/>
      <c r="B505" s="17"/>
      <c r="C505" s="19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" customHeight="1" x14ac:dyDescent="0.2">
      <c r="A506" s="17"/>
      <c r="B506" s="17"/>
      <c r="C506" s="19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" customHeight="1" x14ac:dyDescent="0.2">
      <c r="A507" s="17"/>
      <c r="B507" s="17"/>
      <c r="C507" s="19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" customHeight="1" x14ac:dyDescent="0.2">
      <c r="A508" s="17"/>
      <c r="B508" s="17"/>
      <c r="C508" s="19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" customHeight="1" x14ac:dyDescent="0.2">
      <c r="A509" s="17"/>
      <c r="B509" s="17"/>
      <c r="C509" s="19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" customHeight="1" x14ac:dyDescent="0.2">
      <c r="A510" s="17"/>
      <c r="B510" s="17"/>
      <c r="C510" s="19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" customHeight="1" x14ac:dyDescent="0.2">
      <c r="A511" s="17"/>
      <c r="B511" s="17"/>
      <c r="C511" s="19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" customHeight="1" x14ac:dyDescent="0.2">
      <c r="A512" s="17"/>
      <c r="B512" s="17"/>
      <c r="C512" s="19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" customHeight="1" x14ac:dyDescent="0.2">
      <c r="A513" s="17"/>
      <c r="B513" s="17"/>
      <c r="C513" s="19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" customHeight="1" x14ac:dyDescent="0.2">
      <c r="A514" s="17"/>
      <c r="B514" s="17"/>
      <c r="C514" s="19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" customHeight="1" x14ac:dyDescent="0.2">
      <c r="A515" s="17"/>
      <c r="B515" s="17"/>
      <c r="C515" s="19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" customHeight="1" x14ac:dyDescent="0.2">
      <c r="A516" s="17"/>
      <c r="B516" s="17"/>
      <c r="C516" s="19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" customHeight="1" x14ac:dyDescent="0.2">
      <c r="A517" s="17"/>
      <c r="B517" s="17"/>
      <c r="C517" s="19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" customHeight="1" x14ac:dyDescent="0.2">
      <c r="A518" s="17"/>
      <c r="B518" s="17"/>
      <c r="C518" s="19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" customHeight="1" x14ac:dyDescent="0.2">
      <c r="A519" s="17"/>
      <c r="B519" s="17"/>
      <c r="C519" s="19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" customHeight="1" x14ac:dyDescent="0.2">
      <c r="A520" s="17"/>
      <c r="B520" s="17"/>
      <c r="C520" s="19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" customHeight="1" x14ac:dyDescent="0.2">
      <c r="A521" s="17"/>
      <c r="B521" s="17"/>
      <c r="C521" s="19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" customHeight="1" x14ac:dyDescent="0.2">
      <c r="A522" s="17"/>
      <c r="B522" s="17"/>
      <c r="C522" s="19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" customHeight="1" x14ac:dyDescent="0.2">
      <c r="A523" s="17"/>
      <c r="B523" s="17"/>
      <c r="C523" s="19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" customHeight="1" x14ac:dyDescent="0.2">
      <c r="A524" s="17"/>
      <c r="B524" s="17"/>
      <c r="C524" s="19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" customHeight="1" x14ac:dyDescent="0.2">
      <c r="A525" s="17"/>
      <c r="B525" s="17"/>
      <c r="C525" s="19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" customHeight="1" x14ac:dyDescent="0.2">
      <c r="A526" s="17"/>
      <c r="B526" s="17"/>
      <c r="C526" s="19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" customHeight="1" x14ac:dyDescent="0.2">
      <c r="A527" s="17"/>
      <c r="B527" s="17"/>
      <c r="C527" s="19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" customHeight="1" x14ac:dyDescent="0.2">
      <c r="A528" s="17"/>
      <c r="B528" s="17"/>
      <c r="C528" s="19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" customHeight="1" x14ac:dyDescent="0.2">
      <c r="A529" s="17"/>
      <c r="B529" s="17"/>
      <c r="C529" s="19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" customHeight="1" x14ac:dyDescent="0.2">
      <c r="A530" s="17"/>
      <c r="B530" s="17"/>
      <c r="C530" s="19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" customHeight="1" x14ac:dyDescent="0.2">
      <c r="A531" s="17"/>
      <c r="B531" s="17"/>
      <c r="C531" s="19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" customHeight="1" x14ac:dyDescent="0.2">
      <c r="A532" s="17"/>
      <c r="B532" s="17"/>
      <c r="C532" s="19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" customHeight="1" x14ac:dyDescent="0.2">
      <c r="A533" s="17"/>
      <c r="B533" s="17"/>
      <c r="C533" s="19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" customHeight="1" x14ac:dyDescent="0.2">
      <c r="A534" s="17"/>
      <c r="B534" s="17"/>
      <c r="C534" s="19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" customHeight="1" x14ac:dyDescent="0.2">
      <c r="A535" s="17"/>
      <c r="B535" s="17"/>
      <c r="C535" s="19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" customHeight="1" x14ac:dyDescent="0.2">
      <c r="A536" s="17"/>
      <c r="B536" s="17"/>
      <c r="C536" s="19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" customHeight="1" x14ac:dyDescent="0.2">
      <c r="A537" s="17"/>
      <c r="B537" s="17"/>
      <c r="C537" s="19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" customHeight="1" x14ac:dyDescent="0.2">
      <c r="A538" s="17"/>
      <c r="B538" s="17"/>
      <c r="C538" s="19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" customHeight="1" x14ac:dyDescent="0.2">
      <c r="A539" s="17"/>
      <c r="B539" s="17"/>
      <c r="C539" s="19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" customHeight="1" x14ac:dyDescent="0.2">
      <c r="A540" s="17"/>
      <c r="B540" s="17"/>
      <c r="C540" s="19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" customHeight="1" x14ac:dyDescent="0.2">
      <c r="A541" s="17"/>
      <c r="B541" s="17"/>
      <c r="C541" s="19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" customHeight="1" x14ac:dyDescent="0.2">
      <c r="A542" s="17"/>
      <c r="B542" s="17"/>
      <c r="C542" s="19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" customHeight="1" x14ac:dyDescent="0.2">
      <c r="A543" s="17"/>
      <c r="B543" s="17"/>
      <c r="C543" s="19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" customHeight="1" x14ac:dyDescent="0.2">
      <c r="A544" s="17"/>
      <c r="B544" s="17"/>
      <c r="C544" s="19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" customHeight="1" x14ac:dyDescent="0.2">
      <c r="A545" s="17"/>
      <c r="B545" s="17"/>
      <c r="C545" s="19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" customHeight="1" x14ac:dyDescent="0.2">
      <c r="A546" s="17"/>
      <c r="B546" s="17"/>
      <c r="C546" s="19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" customHeight="1" x14ac:dyDescent="0.2">
      <c r="A547" s="17"/>
      <c r="B547" s="17"/>
      <c r="C547" s="19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" customHeight="1" x14ac:dyDescent="0.2">
      <c r="A548" s="17"/>
      <c r="B548" s="17"/>
      <c r="C548" s="19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" customHeight="1" x14ac:dyDescent="0.2">
      <c r="A549" s="17"/>
      <c r="B549" s="17"/>
      <c r="C549" s="19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" customHeight="1" x14ac:dyDescent="0.2">
      <c r="A550" s="17"/>
      <c r="B550" s="17"/>
      <c r="C550" s="19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" customHeight="1" x14ac:dyDescent="0.2">
      <c r="A551" s="17"/>
      <c r="B551" s="17"/>
      <c r="C551" s="19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" customHeight="1" x14ac:dyDescent="0.2">
      <c r="A552" s="17"/>
      <c r="B552" s="17"/>
      <c r="C552" s="19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" customHeight="1" x14ac:dyDescent="0.2">
      <c r="A553" s="17"/>
      <c r="B553" s="17"/>
      <c r="C553" s="19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" customHeight="1" x14ac:dyDescent="0.2">
      <c r="A554" s="17"/>
      <c r="B554" s="17"/>
      <c r="C554" s="19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" customHeight="1" x14ac:dyDescent="0.2">
      <c r="A555" s="17"/>
      <c r="B555" s="17"/>
      <c r="C555" s="19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" customHeight="1" x14ac:dyDescent="0.2">
      <c r="A556" s="17"/>
      <c r="B556" s="17"/>
      <c r="C556" s="19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" customHeight="1" x14ac:dyDescent="0.2">
      <c r="A557" s="17"/>
      <c r="B557" s="17"/>
      <c r="C557" s="19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" customHeight="1" x14ac:dyDescent="0.2">
      <c r="A558" s="17"/>
      <c r="B558" s="17"/>
      <c r="C558" s="19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" customHeight="1" x14ac:dyDescent="0.2">
      <c r="A559" s="17"/>
      <c r="B559" s="17"/>
      <c r="C559" s="19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" customHeight="1" x14ac:dyDescent="0.2">
      <c r="A560" s="17"/>
      <c r="B560" s="17"/>
      <c r="C560" s="19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" customHeight="1" x14ac:dyDescent="0.2">
      <c r="A561" s="17"/>
      <c r="B561" s="17"/>
      <c r="C561" s="19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" customHeight="1" x14ac:dyDescent="0.2">
      <c r="A562" s="17"/>
      <c r="B562" s="17"/>
      <c r="C562" s="19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" customHeight="1" x14ac:dyDescent="0.2">
      <c r="A563" s="17"/>
      <c r="B563" s="17"/>
      <c r="C563" s="19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" customHeight="1" x14ac:dyDescent="0.2">
      <c r="A564" s="17"/>
      <c r="B564" s="17"/>
      <c r="C564" s="19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" customHeight="1" x14ac:dyDescent="0.2">
      <c r="A565" s="17"/>
      <c r="B565" s="17"/>
      <c r="C565" s="19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" customHeight="1" x14ac:dyDescent="0.2">
      <c r="A566" s="17"/>
      <c r="B566" s="17"/>
      <c r="C566" s="19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" customHeight="1" x14ac:dyDescent="0.2">
      <c r="A567" s="17"/>
      <c r="B567" s="17"/>
      <c r="C567" s="19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" customHeight="1" x14ac:dyDescent="0.2">
      <c r="A568" s="17"/>
      <c r="B568" s="17"/>
      <c r="C568" s="19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" customHeight="1" x14ac:dyDescent="0.2">
      <c r="A569" s="17"/>
      <c r="B569" s="17"/>
      <c r="C569" s="19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" customHeight="1" x14ac:dyDescent="0.2">
      <c r="A570" s="17"/>
      <c r="B570" s="17"/>
      <c r="C570" s="19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" customHeight="1" x14ac:dyDescent="0.2">
      <c r="A571" s="17"/>
      <c r="B571" s="17"/>
      <c r="C571" s="19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" customHeight="1" x14ac:dyDescent="0.2">
      <c r="A572" s="17"/>
      <c r="B572" s="17"/>
      <c r="C572" s="19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" customHeight="1" x14ac:dyDescent="0.2">
      <c r="A573" s="17"/>
      <c r="B573" s="17"/>
      <c r="C573" s="19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" customHeight="1" x14ac:dyDescent="0.2">
      <c r="A574" s="17"/>
      <c r="B574" s="17"/>
      <c r="C574" s="19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" customHeight="1" x14ac:dyDescent="0.2">
      <c r="A575" s="17"/>
      <c r="B575" s="17"/>
      <c r="C575" s="19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" customHeight="1" x14ac:dyDescent="0.2">
      <c r="A576" s="17"/>
      <c r="B576" s="17"/>
      <c r="C576" s="19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" customHeight="1" x14ac:dyDescent="0.2">
      <c r="A577" s="17"/>
      <c r="B577" s="17"/>
      <c r="C577" s="19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" customHeight="1" x14ac:dyDescent="0.2">
      <c r="A578" s="17"/>
      <c r="B578" s="17"/>
      <c r="C578" s="19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" customHeight="1" x14ac:dyDescent="0.2">
      <c r="A579" s="17"/>
      <c r="B579" s="17"/>
      <c r="C579" s="19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" customHeight="1" x14ac:dyDescent="0.2">
      <c r="A580" s="17"/>
      <c r="B580" s="17"/>
      <c r="C580" s="19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" customHeight="1" x14ac:dyDescent="0.2">
      <c r="A581" s="17"/>
      <c r="B581" s="17"/>
      <c r="C581" s="19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" customHeight="1" x14ac:dyDescent="0.2">
      <c r="A582" s="17"/>
      <c r="B582" s="17"/>
      <c r="C582" s="19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" customHeight="1" x14ac:dyDescent="0.2">
      <c r="A583" s="17"/>
      <c r="B583" s="17"/>
      <c r="C583" s="19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" customHeight="1" x14ac:dyDescent="0.2">
      <c r="A584" s="17"/>
      <c r="B584" s="17"/>
      <c r="C584" s="19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" customHeight="1" x14ac:dyDescent="0.2">
      <c r="A585" s="17"/>
      <c r="B585" s="17"/>
      <c r="C585" s="19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" customHeight="1" x14ac:dyDescent="0.2">
      <c r="A586" s="17"/>
      <c r="B586" s="17"/>
      <c r="C586" s="19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" customHeight="1" x14ac:dyDescent="0.2">
      <c r="A587" s="17"/>
      <c r="B587" s="17"/>
      <c r="C587" s="19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" customHeight="1" x14ac:dyDescent="0.2">
      <c r="A588" s="17"/>
      <c r="B588" s="17"/>
      <c r="C588" s="19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" customHeight="1" x14ac:dyDescent="0.2">
      <c r="A589" s="17"/>
      <c r="B589" s="17"/>
      <c r="C589" s="19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" customHeight="1" x14ac:dyDescent="0.2">
      <c r="A590" s="17"/>
      <c r="B590" s="17"/>
      <c r="C590" s="19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" customHeight="1" x14ac:dyDescent="0.2">
      <c r="A591" s="17"/>
      <c r="B591" s="17"/>
      <c r="C591" s="19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" customHeight="1" x14ac:dyDescent="0.2">
      <c r="A592" s="17"/>
      <c r="B592" s="17"/>
      <c r="C592" s="19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" customHeight="1" x14ac:dyDescent="0.2">
      <c r="A593" s="17"/>
      <c r="B593" s="17"/>
      <c r="C593" s="19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" customHeight="1" x14ac:dyDescent="0.2">
      <c r="A594" s="17"/>
      <c r="B594" s="17"/>
      <c r="C594" s="19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" customHeight="1" x14ac:dyDescent="0.2">
      <c r="A595" s="17"/>
      <c r="B595" s="17"/>
      <c r="C595" s="19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" customHeight="1" x14ac:dyDescent="0.2">
      <c r="A596" s="17"/>
      <c r="B596" s="17"/>
      <c r="C596" s="19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" customHeight="1" x14ac:dyDescent="0.2">
      <c r="A597" s="17"/>
      <c r="B597" s="17"/>
      <c r="C597" s="19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" customHeight="1" x14ac:dyDescent="0.2">
      <c r="A598" s="17"/>
      <c r="B598" s="17"/>
      <c r="C598" s="19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" customHeight="1" x14ac:dyDescent="0.2">
      <c r="A599" s="17"/>
      <c r="B599" s="17"/>
      <c r="C599" s="19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" customHeight="1" x14ac:dyDescent="0.2">
      <c r="A600" s="17"/>
      <c r="B600" s="17"/>
      <c r="C600" s="19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" customHeight="1" x14ac:dyDescent="0.2">
      <c r="A601" s="17"/>
      <c r="B601" s="17"/>
      <c r="C601" s="19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" customHeight="1" x14ac:dyDescent="0.2">
      <c r="A602" s="17"/>
      <c r="B602" s="17"/>
      <c r="C602" s="19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" customHeight="1" x14ac:dyDescent="0.2">
      <c r="A603" s="17"/>
      <c r="B603" s="17"/>
      <c r="C603" s="19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" customHeight="1" x14ac:dyDescent="0.2">
      <c r="A604" s="17"/>
      <c r="B604" s="17"/>
      <c r="C604" s="19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" customHeight="1" x14ac:dyDescent="0.2">
      <c r="A605" s="17"/>
      <c r="B605" s="17"/>
      <c r="C605" s="19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" customHeight="1" x14ac:dyDescent="0.2">
      <c r="A606" s="17"/>
      <c r="B606" s="17"/>
      <c r="C606" s="19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" customHeight="1" x14ac:dyDescent="0.2">
      <c r="A607" s="17"/>
      <c r="B607" s="17"/>
      <c r="C607" s="19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" customHeight="1" x14ac:dyDescent="0.2">
      <c r="A608" s="17"/>
      <c r="B608" s="17"/>
      <c r="C608" s="19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" customHeight="1" x14ac:dyDescent="0.2">
      <c r="A609" s="17"/>
      <c r="B609" s="17"/>
      <c r="C609" s="19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" customHeight="1" x14ac:dyDescent="0.2">
      <c r="A610" s="17"/>
      <c r="B610" s="17"/>
      <c r="C610" s="19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" customHeight="1" x14ac:dyDescent="0.2">
      <c r="A611" s="17"/>
      <c r="B611" s="17"/>
      <c r="C611" s="19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" customHeight="1" x14ac:dyDescent="0.2">
      <c r="A612" s="17"/>
      <c r="B612" s="17"/>
      <c r="C612" s="19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" customHeight="1" x14ac:dyDescent="0.2">
      <c r="A613" s="17"/>
      <c r="B613" s="17"/>
      <c r="C613" s="19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" customHeight="1" x14ac:dyDescent="0.2">
      <c r="A614" s="17"/>
      <c r="B614" s="17"/>
      <c r="C614" s="19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" customHeight="1" x14ac:dyDescent="0.2">
      <c r="A615" s="17"/>
      <c r="B615" s="17"/>
      <c r="C615" s="19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" customHeight="1" x14ac:dyDescent="0.2">
      <c r="A616" s="17"/>
      <c r="B616" s="17"/>
      <c r="C616" s="19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" customHeight="1" x14ac:dyDescent="0.2">
      <c r="A617" s="17"/>
      <c r="B617" s="17"/>
      <c r="C617" s="19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" customHeight="1" x14ac:dyDescent="0.2">
      <c r="A618" s="17"/>
      <c r="B618" s="17"/>
      <c r="C618" s="19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" customHeight="1" x14ac:dyDescent="0.2">
      <c r="A619" s="17"/>
      <c r="B619" s="17"/>
      <c r="C619" s="19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" customHeight="1" x14ac:dyDescent="0.2">
      <c r="A620" s="17"/>
      <c r="B620" s="17"/>
      <c r="C620" s="19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" customHeight="1" x14ac:dyDescent="0.2">
      <c r="A621" s="17"/>
      <c r="B621" s="17"/>
      <c r="C621" s="19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" customHeight="1" x14ac:dyDescent="0.2">
      <c r="A622" s="17"/>
      <c r="B622" s="17"/>
      <c r="C622" s="19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" customHeight="1" x14ac:dyDescent="0.2">
      <c r="A623" s="17"/>
      <c r="B623" s="17"/>
      <c r="C623" s="19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" customHeight="1" x14ac:dyDescent="0.2">
      <c r="A624" s="17"/>
      <c r="B624" s="17"/>
      <c r="C624" s="19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" customHeight="1" x14ac:dyDescent="0.2">
      <c r="A625" s="17"/>
      <c r="B625" s="17"/>
      <c r="C625" s="19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" customHeight="1" x14ac:dyDescent="0.2">
      <c r="A626" s="17"/>
      <c r="B626" s="17"/>
      <c r="C626" s="19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" customHeight="1" x14ac:dyDescent="0.2">
      <c r="A627" s="17"/>
      <c r="B627" s="17"/>
      <c r="C627" s="19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" customHeight="1" x14ac:dyDescent="0.2">
      <c r="A628" s="17"/>
      <c r="B628" s="17"/>
      <c r="C628" s="19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" customHeight="1" x14ac:dyDescent="0.2">
      <c r="A629" s="17"/>
      <c r="B629" s="17"/>
      <c r="C629" s="19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" customHeight="1" x14ac:dyDescent="0.2">
      <c r="A630" s="17"/>
      <c r="B630" s="17"/>
      <c r="C630" s="19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" customHeight="1" x14ac:dyDescent="0.2">
      <c r="A631" s="17"/>
      <c r="B631" s="17"/>
      <c r="C631" s="19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" customHeight="1" x14ac:dyDescent="0.2">
      <c r="A632" s="17"/>
      <c r="B632" s="17"/>
      <c r="C632" s="19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" customHeight="1" x14ac:dyDescent="0.2">
      <c r="A633" s="17"/>
      <c r="B633" s="17"/>
      <c r="C633" s="19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" customHeight="1" x14ac:dyDescent="0.2">
      <c r="A634" s="17"/>
      <c r="B634" s="17"/>
      <c r="C634" s="19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" customHeight="1" x14ac:dyDescent="0.2">
      <c r="A635" s="17"/>
      <c r="B635" s="17"/>
      <c r="C635" s="19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" customHeight="1" x14ac:dyDescent="0.2">
      <c r="A636" s="17"/>
      <c r="B636" s="17"/>
      <c r="C636" s="19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" customHeight="1" x14ac:dyDescent="0.2">
      <c r="A637" s="17"/>
      <c r="B637" s="17"/>
      <c r="C637" s="19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" customHeight="1" x14ac:dyDescent="0.2">
      <c r="A638" s="17"/>
      <c r="B638" s="17"/>
      <c r="C638" s="19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" customHeight="1" x14ac:dyDescent="0.2">
      <c r="A639" s="17"/>
      <c r="B639" s="17"/>
      <c r="C639" s="19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" customHeight="1" x14ac:dyDescent="0.2">
      <c r="A640" s="17"/>
      <c r="B640" s="17"/>
      <c r="C640" s="19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" customHeight="1" x14ac:dyDescent="0.2">
      <c r="A641" s="17"/>
      <c r="B641" s="17"/>
      <c r="C641" s="19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" customHeight="1" x14ac:dyDescent="0.2">
      <c r="A642" s="17"/>
      <c r="B642" s="17"/>
      <c r="C642" s="19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" customHeight="1" x14ac:dyDescent="0.2">
      <c r="A643" s="17"/>
      <c r="B643" s="17"/>
      <c r="C643" s="19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" customHeight="1" x14ac:dyDescent="0.2">
      <c r="A644" s="17"/>
      <c r="B644" s="17"/>
      <c r="C644" s="19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" customHeight="1" x14ac:dyDescent="0.2">
      <c r="A645" s="17"/>
      <c r="B645" s="17"/>
      <c r="C645" s="19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" customHeight="1" x14ac:dyDescent="0.2">
      <c r="A646" s="17"/>
      <c r="B646" s="17"/>
      <c r="C646" s="19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" customHeight="1" x14ac:dyDescent="0.2">
      <c r="A647" s="17"/>
      <c r="B647" s="17"/>
      <c r="C647" s="19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" customHeight="1" x14ac:dyDescent="0.2">
      <c r="A648" s="17"/>
      <c r="B648" s="17"/>
      <c r="C648" s="19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" customHeight="1" x14ac:dyDescent="0.2">
      <c r="A649" s="17"/>
      <c r="B649" s="17"/>
      <c r="C649" s="19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" customHeight="1" x14ac:dyDescent="0.2">
      <c r="A650" s="17"/>
      <c r="B650" s="17"/>
      <c r="C650" s="19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" customHeight="1" x14ac:dyDescent="0.2">
      <c r="A651" s="17"/>
      <c r="B651" s="17"/>
      <c r="C651" s="19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" customHeight="1" x14ac:dyDescent="0.2">
      <c r="A652" s="17"/>
      <c r="B652" s="17"/>
      <c r="C652" s="19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" customHeight="1" x14ac:dyDescent="0.2">
      <c r="A653" s="17"/>
      <c r="B653" s="17"/>
      <c r="C653" s="19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" customHeight="1" x14ac:dyDescent="0.2">
      <c r="A654" s="17"/>
      <c r="B654" s="17"/>
      <c r="C654" s="19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" customHeight="1" x14ac:dyDescent="0.2">
      <c r="A655" s="17"/>
      <c r="B655" s="17"/>
      <c r="C655" s="19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" customHeight="1" x14ac:dyDescent="0.2">
      <c r="A656" s="17"/>
      <c r="B656" s="17"/>
      <c r="C656" s="19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" customHeight="1" x14ac:dyDescent="0.2">
      <c r="A657" s="17"/>
      <c r="B657" s="17"/>
      <c r="C657" s="19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" customHeight="1" x14ac:dyDescent="0.2">
      <c r="A658" s="17"/>
      <c r="B658" s="17"/>
      <c r="C658" s="19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" customHeight="1" x14ac:dyDescent="0.2">
      <c r="A659" s="17"/>
      <c r="B659" s="17"/>
      <c r="C659" s="19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" customHeight="1" x14ac:dyDescent="0.2">
      <c r="A660" s="17"/>
      <c r="B660" s="17"/>
      <c r="C660" s="19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" customHeight="1" x14ac:dyDescent="0.2">
      <c r="A661" s="17"/>
      <c r="B661" s="17"/>
      <c r="C661" s="19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" customHeight="1" x14ac:dyDescent="0.2">
      <c r="A662" s="17"/>
      <c r="B662" s="17"/>
      <c r="C662" s="19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" customHeight="1" x14ac:dyDescent="0.2">
      <c r="A663" s="17"/>
      <c r="B663" s="17"/>
      <c r="C663" s="19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" customHeight="1" x14ac:dyDescent="0.2">
      <c r="A664" s="17"/>
      <c r="B664" s="17"/>
      <c r="C664" s="19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" customHeight="1" x14ac:dyDescent="0.2">
      <c r="A665" s="17"/>
      <c r="B665" s="17"/>
      <c r="C665" s="19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" customHeight="1" x14ac:dyDescent="0.2">
      <c r="A666" s="17"/>
      <c r="B666" s="17"/>
      <c r="C666" s="19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" customHeight="1" x14ac:dyDescent="0.2">
      <c r="A667" s="17"/>
      <c r="B667" s="17"/>
      <c r="C667" s="19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" customHeight="1" x14ac:dyDescent="0.2">
      <c r="A668" s="17"/>
      <c r="B668" s="17"/>
      <c r="C668" s="19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" customHeight="1" x14ac:dyDescent="0.2">
      <c r="A669" s="17"/>
      <c r="B669" s="17"/>
      <c r="C669" s="19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" customHeight="1" x14ac:dyDescent="0.2">
      <c r="A670" s="17"/>
      <c r="B670" s="17"/>
      <c r="C670" s="19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" customHeight="1" x14ac:dyDescent="0.2">
      <c r="A671" s="17"/>
      <c r="B671" s="17"/>
      <c r="C671" s="19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" customHeight="1" x14ac:dyDescent="0.2">
      <c r="A672" s="17"/>
      <c r="B672" s="17"/>
      <c r="C672" s="19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" customHeight="1" x14ac:dyDescent="0.2">
      <c r="A673" s="17"/>
      <c r="B673" s="17"/>
      <c r="C673" s="19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" customHeight="1" x14ac:dyDescent="0.2">
      <c r="A674" s="17"/>
      <c r="B674" s="17"/>
      <c r="C674" s="19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" customHeight="1" x14ac:dyDescent="0.2">
      <c r="A675" s="17"/>
      <c r="B675" s="17"/>
      <c r="C675" s="19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" customHeight="1" x14ac:dyDescent="0.2">
      <c r="A676" s="17"/>
      <c r="B676" s="17"/>
      <c r="C676" s="19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" customHeight="1" x14ac:dyDescent="0.2">
      <c r="A677" s="17"/>
      <c r="B677" s="17"/>
      <c r="C677" s="19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" customHeight="1" x14ac:dyDescent="0.2">
      <c r="A678" s="17"/>
      <c r="B678" s="17"/>
      <c r="C678" s="19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" customHeight="1" x14ac:dyDescent="0.2">
      <c r="A679" s="17"/>
      <c r="B679" s="17"/>
      <c r="C679" s="19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" customHeight="1" x14ac:dyDescent="0.2">
      <c r="A680" s="17"/>
      <c r="B680" s="17"/>
      <c r="C680" s="19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" customHeight="1" x14ac:dyDescent="0.2">
      <c r="A681" s="17"/>
      <c r="B681" s="17"/>
      <c r="C681" s="19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" customHeight="1" x14ac:dyDescent="0.2">
      <c r="A682" s="17"/>
      <c r="B682" s="17"/>
      <c r="C682" s="19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" customHeight="1" x14ac:dyDescent="0.2">
      <c r="A683" s="17"/>
      <c r="B683" s="17"/>
      <c r="C683" s="19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" customHeight="1" x14ac:dyDescent="0.2">
      <c r="A684" s="17"/>
      <c r="B684" s="17"/>
      <c r="C684" s="19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" customHeight="1" x14ac:dyDescent="0.2">
      <c r="A685" s="17"/>
      <c r="B685" s="17"/>
      <c r="C685" s="19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" customHeight="1" x14ac:dyDescent="0.2">
      <c r="A686" s="17"/>
      <c r="B686" s="17"/>
      <c r="C686" s="19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" customHeight="1" x14ac:dyDescent="0.2">
      <c r="A687" s="17"/>
      <c r="B687" s="17"/>
      <c r="C687" s="19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" customHeight="1" x14ac:dyDescent="0.2">
      <c r="A688" s="17"/>
      <c r="B688" s="17"/>
      <c r="C688" s="19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" customHeight="1" x14ac:dyDescent="0.2">
      <c r="A689" s="17"/>
      <c r="B689" s="17"/>
      <c r="C689" s="19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" customHeight="1" x14ac:dyDescent="0.2">
      <c r="A690" s="17"/>
      <c r="B690" s="17"/>
      <c r="C690" s="19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" customHeight="1" x14ac:dyDescent="0.2">
      <c r="A691" s="17"/>
      <c r="B691" s="17"/>
      <c r="C691" s="19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" customHeight="1" x14ac:dyDescent="0.2">
      <c r="A692" s="17"/>
      <c r="B692" s="17"/>
      <c r="C692" s="19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" customHeight="1" x14ac:dyDescent="0.2">
      <c r="A693" s="17"/>
      <c r="B693" s="17"/>
      <c r="C693" s="19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" customHeight="1" x14ac:dyDescent="0.2">
      <c r="A694" s="17"/>
      <c r="B694" s="17"/>
      <c r="C694" s="19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" customHeight="1" x14ac:dyDescent="0.2">
      <c r="A695" s="17"/>
      <c r="B695" s="17"/>
      <c r="C695" s="19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" customHeight="1" x14ac:dyDescent="0.2">
      <c r="A696" s="17"/>
      <c r="B696" s="17"/>
      <c r="C696" s="19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" customHeight="1" x14ac:dyDescent="0.2">
      <c r="A697" s="17"/>
      <c r="B697" s="17"/>
      <c r="C697" s="19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" customHeight="1" x14ac:dyDescent="0.2">
      <c r="A698" s="17"/>
      <c r="B698" s="17"/>
      <c r="C698" s="19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" customHeight="1" x14ac:dyDescent="0.2">
      <c r="A699" s="17"/>
      <c r="B699" s="17"/>
      <c r="C699" s="19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" customHeight="1" x14ac:dyDescent="0.2">
      <c r="A700" s="17"/>
      <c r="B700" s="17"/>
      <c r="C700" s="19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" customHeight="1" x14ac:dyDescent="0.2">
      <c r="A701" s="17"/>
      <c r="B701" s="17"/>
      <c r="C701" s="19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" customHeight="1" x14ac:dyDescent="0.2">
      <c r="A702" s="17"/>
      <c r="B702" s="17"/>
      <c r="C702" s="19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" customHeight="1" x14ac:dyDescent="0.2">
      <c r="A703" s="17"/>
      <c r="B703" s="17"/>
      <c r="C703" s="19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" customHeight="1" x14ac:dyDescent="0.2">
      <c r="A704" s="17"/>
      <c r="B704" s="17"/>
      <c r="C704" s="19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" customHeight="1" x14ac:dyDescent="0.2">
      <c r="A705" s="17"/>
      <c r="B705" s="17"/>
      <c r="C705" s="19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" customHeight="1" x14ac:dyDescent="0.2">
      <c r="A706" s="17"/>
      <c r="B706" s="17"/>
      <c r="C706" s="19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" customHeight="1" x14ac:dyDescent="0.2">
      <c r="A707" s="17"/>
      <c r="B707" s="17"/>
      <c r="C707" s="19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" customHeight="1" x14ac:dyDescent="0.2">
      <c r="A708" s="17"/>
      <c r="B708" s="17"/>
      <c r="C708" s="19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" customHeight="1" x14ac:dyDescent="0.2">
      <c r="A709" s="17"/>
      <c r="B709" s="17"/>
      <c r="C709" s="19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" customHeight="1" x14ac:dyDescent="0.2">
      <c r="A710" s="17"/>
      <c r="B710" s="17"/>
      <c r="C710" s="19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" customHeight="1" x14ac:dyDescent="0.2">
      <c r="A711" s="17"/>
      <c r="B711" s="17"/>
      <c r="C711" s="19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" customHeight="1" x14ac:dyDescent="0.2">
      <c r="A712" s="17"/>
      <c r="B712" s="17"/>
      <c r="C712" s="19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" customHeight="1" x14ac:dyDescent="0.2">
      <c r="A713" s="17"/>
      <c r="B713" s="17"/>
      <c r="C713" s="19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" customHeight="1" x14ac:dyDescent="0.2">
      <c r="A714" s="17"/>
      <c r="B714" s="17"/>
      <c r="C714" s="19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" customHeight="1" x14ac:dyDescent="0.2">
      <c r="A715" s="17"/>
      <c r="B715" s="17"/>
      <c r="C715" s="19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" customHeight="1" x14ac:dyDescent="0.2">
      <c r="A716" s="17"/>
      <c r="B716" s="17"/>
      <c r="C716" s="19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" customHeight="1" x14ac:dyDescent="0.2">
      <c r="A717" s="17"/>
      <c r="B717" s="17"/>
      <c r="C717" s="19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" customHeight="1" x14ac:dyDescent="0.2">
      <c r="A718" s="17"/>
      <c r="B718" s="17"/>
      <c r="C718" s="19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" customHeight="1" x14ac:dyDescent="0.2">
      <c r="A719" s="17"/>
      <c r="B719" s="17"/>
      <c r="C719" s="19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" customHeight="1" x14ac:dyDescent="0.2">
      <c r="A720" s="17"/>
      <c r="B720" s="17"/>
      <c r="C720" s="19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" customHeight="1" x14ac:dyDescent="0.2">
      <c r="A721" s="17"/>
      <c r="B721" s="17"/>
      <c r="C721" s="19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" customHeight="1" x14ac:dyDescent="0.2">
      <c r="A722" s="17"/>
      <c r="B722" s="17"/>
      <c r="C722" s="19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" customHeight="1" x14ac:dyDescent="0.2">
      <c r="A723" s="17"/>
      <c r="B723" s="17"/>
      <c r="C723" s="19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" customHeight="1" x14ac:dyDescent="0.2">
      <c r="A724" s="17"/>
      <c r="B724" s="17"/>
      <c r="C724" s="19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" customHeight="1" x14ac:dyDescent="0.2">
      <c r="A725" s="17"/>
      <c r="B725" s="17"/>
      <c r="C725" s="19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" customHeight="1" x14ac:dyDescent="0.2">
      <c r="A726" s="17"/>
      <c r="B726" s="17"/>
      <c r="C726" s="19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" customHeight="1" x14ac:dyDescent="0.2">
      <c r="A727" s="17"/>
      <c r="B727" s="17"/>
      <c r="C727" s="19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" customHeight="1" x14ac:dyDescent="0.2">
      <c r="A728" s="17"/>
      <c r="B728" s="17"/>
      <c r="C728" s="19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" customHeight="1" x14ac:dyDescent="0.2">
      <c r="A729" s="17"/>
      <c r="B729" s="17"/>
      <c r="C729" s="19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" customHeight="1" x14ac:dyDescent="0.2">
      <c r="A730" s="17"/>
      <c r="B730" s="17"/>
      <c r="C730" s="19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" customHeight="1" x14ac:dyDescent="0.2">
      <c r="A731" s="17"/>
      <c r="B731" s="17"/>
      <c r="C731" s="19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" customHeight="1" x14ac:dyDescent="0.2">
      <c r="A732" s="17"/>
      <c r="B732" s="17"/>
      <c r="C732" s="19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" customHeight="1" x14ac:dyDescent="0.2">
      <c r="A733" s="17"/>
      <c r="B733" s="17"/>
      <c r="C733" s="19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" customHeight="1" x14ac:dyDescent="0.2">
      <c r="A734" s="17"/>
      <c r="B734" s="17"/>
      <c r="C734" s="19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" customHeight="1" x14ac:dyDescent="0.2">
      <c r="A735" s="17"/>
      <c r="B735" s="17"/>
      <c r="C735" s="19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" customHeight="1" x14ac:dyDescent="0.2">
      <c r="A736" s="17"/>
      <c r="B736" s="17"/>
      <c r="C736" s="19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" customHeight="1" x14ac:dyDescent="0.2">
      <c r="A737" s="17"/>
      <c r="B737" s="17"/>
      <c r="C737" s="19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" customHeight="1" x14ac:dyDescent="0.2">
      <c r="A738" s="17"/>
      <c r="B738" s="17"/>
      <c r="C738" s="19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" customHeight="1" x14ac:dyDescent="0.2">
      <c r="A739" s="17"/>
      <c r="B739" s="17"/>
      <c r="C739" s="19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" customHeight="1" x14ac:dyDescent="0.2">
      <c r="A740" s="17"/>
      <c r="B740" s="17"/>
      <c r="C740" s="19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" customHeight="1" x14ac:dyDescent="0.2">
      <c r="A741" s="17"/>
      <c r="B741" s="17"/>
      <c r="C741" s="19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" customHeight="1" x14ac:dyDescent="0.2">
      <c r="A742" s="17"/>
      <c r="B742" s="17"/>
      <c r="C742" s="19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" customHeight="1" x14ac:dyDescent="0.2">
      <c r="A743" s="17"/>
      <c r="B743" s="17"/>
      <c r="C743" s="19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" customHeight="1" x14ac:dyDescent="0.2">
      <c r="A744" s="17"/>
      <c r="B744" s="17"/>
      <c r="C744" s="19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" customHeight="1" x14ac:dyDescent="0.2">
      <c r="A745" s="17"/>
      <c r="B745" s="17"/>
      <c r="C745" s="19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" customHeight="1" x14ac:dyDescent="0.2">
      <c r="A746" s="17"/>
      <c r="B746" s="17"/>
      <c r="C746" s="19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" customHeight="1" x14ac:dyDescent="0.2">
      <c r="A747" s="17"/>
      <c r="B747" s="17"/>
      <c r="C747" s="19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" customHeight="1" x14ac:dyDescent="0.2">
      <c r="A748" s="17"/>
      <c r="B748" s="17"/>
      <c r="C748" s="19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" customHeight="1" x14ac:dyDescent="0.2">
      <c r="A749" s="17"/>
      <c r="B749" s="17"/>
      <c r="C749" s="19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" customHeight="1" x14ac:dyDescent="0.2">
      <c r="A750" s="17"/>
      <c r="B750" s="17"/>
      <c r="C750" s="19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" customHeight="1" x14ac:dyDescent="0.2">
      <c r="A751" s="17"/>
      <c r="B751" s="17"/>
      <c r="C751" s="19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" customHeight="1" x14ac:dyDescent="0.2">
      <c r="A752" s="17"/>
      <c r="B752" s="17"/>
      <c r="C752" s="19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" customHeight="1" x14ac:dyDescent="0.2">
      <c r="A753" s="17"/>
      <c r="B753" s="17"/>
      <c r="C753" s="19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" customHeight="1" x14ac:dyDescent="0.2">
      <c r="A754" s="17"/>
      <c r="B754" s="17"/>
      <c r="C754" s="19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" customHeight="1" x14ac:dyDescent="0.2">
      <c r="A755" s="17"/>
      <c r="B755" s="17"/>
      <c r="C755" s="19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" customHeight="1" x14ac:dyDescent="0.2">
      <c r="A756" s="17"/>
      <c r="B756" s="17"/>
      <c r="C756" s="19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" customHeight="1" x14ac:dyDescent="0.2">
      <c r="A757" s="17"/>
      <c r="B757" s="17"/>
      <c r="C757" s="19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" customHeight="1" x14ac:dyDescent="0.2">
      <c r="A758" s="17"/>
      <c r="B758" s="17"/>
      <c r="C758" s="19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" customHeight="1" x14ac:dyDescent="0.2">
      <c r="A759" s="17"/>
      <c r="B759" s="17"/>
      <c r="C759" s="19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" customHeight="1" x14ac:dyDescent="0.2">
      <c r="A760" s="17"/>
      <c r="B760" s="17"/>
      <c r="C760" s="19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" customHeight="1" x14ac:dyDescent="0.2">
      <c r="A761" s="17"/>
      <c r="B761" s="17"/>
      <c r="C761" s="19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" customHeight="1" x14ac:dyDescent="0.2">
      <c r="A762" s="17"/>
      <c r="B762" s="17"/>
      <c r="C762" s="19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" customHeight="1" x14ac:dyDescent="0.2">
      <c r="A763" s="17"/>
      <c r="B763" s="17"/>
      <c r="C763" s="19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" customHeight="1" x14ac:dyDescent="0.2">
      <c r="A764" s="17"/>
      <c r="B764" s="17"/>
      <c r="C764" s="19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" customHeight="1" x14ac:dyDescent="0.2">
      <c r="A765" s="17"/>
      <c r="B765" s="17"/>
      <c r="C765" s="19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" customHeight="1" x14ac:dyDescent="0.2">
      <c r="A766" s="17"/>
      <c r="B766" s="17"/>
      <c r="C766" s="19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" customHeight="1" x14ac:dyDescent="0.2">
      <c r="A767" s="17"/>
      <c r="B767" s="17"/>
      <c r="C767" s="19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" customHeight="1" x14ac:dyDescent="0.2">
      <c r="A768" s="17"/>
      <c r="B768" s="17"/>
      <c r="C768" s="19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" customHeight="1" x14ac:dyDescent="0.2">
      <c r="A769" s="17"/>
      <c r="B769" s="17"/>
      <c r="C769" s="19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" customHeight="1" x14ac:dyDescent="0.2">
      <c r="A770" s="17"/>
      <c r="B770" s="17"/>
      <c r="C770" s="19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" customHeight="1" x14ac:dyDescent="0.2">
      <c r="A771" s="17"/>
      <c r="B771" s="17"/>
      <c r="C771" s="19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" customHeight="1" x14ac:dyDescent="0.2">
      <c r="A772" s="17"/>
      <c r="B772" s="17"/>
      <c r="C772" s="19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" customHeight="1" x14ac:dyDescent="0.2">
      <c r="A773" s="17"/>
      <c r="B773" s="17"/>
      <c r="C773" s="19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" customHeight="1" x14ac:dyDescent="0.2">
      <c r="A774" s="17"/>
      <c r="B774" s="17"/>
      <c r="C774" s="19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" customHeight="1" x14ac:dyDescent="0.2">
      <c r="A775" s="17"/>
      <c r="B775" s="17"/>
      <c r="C775" s="19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" customHeight="1" x14ac:dyDescent="0.2">
      <c r="A776" s="17"/>
      <c r="B776" s="17"/>
      <c r="C776" s="19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" customHeight="1" x14ac:dyDescent="0.2">
      <c r="A777" s="17"/>
      <c r="B777" s="17"/>
      <c r="C777" s="19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" customHeight="1" x14ac:dyDescent="0.2">
      <c r="A778" s="17"/>
      <c r="B778" s="17"/>
      <c r="C778" s="19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" customHeight="1" x14ac:dyDescent="0.2">
      <c r="A779" s="17"/>
      <c r="B779" s="17"/>
      <c r="C779" s="19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" customHeight="1" x14ac:dyDescent="0.2">
      <c r="A780" s="17"/>
      <c r="B780" s="17"/>
      <c r="C780" s="19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" customHeight="1" x14ac:dyDescent="0.2">
      <c r="A781" s="17"/>
      <c r="B781" s="17"/>
      <c r="C781" s="19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" customHeight="1" x14ac:dyDescent="0.2">
      <c r="A782" s="17"/>
      <c r="B782" s="17"/>
      <c r="C782" s="19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" customHeight="1" x14ac:dyDescent="0.2">
      <c r="A783" s="17"/>
      <c r="B783" s="17"/>
      <c r="C783" s="19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" customHeight="1" x14ac:dyDescent="0.2">
      <c r="A784" s="17"/>
      <c r="B784" s="17"/>
      <c r="C784" s="19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" customHeight="1" x14ac:dyDescent="0.2">
      <c r="A785" s="17"/>
      <c r="B785" s="17"/>
      <c r="C785" s="19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" customHeight="1" x14ac:dyDescent="0.2">
      <c r="A786" s="17"/>
      <c r="B786" s="17"/>
      <c r="C786" s="19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" customHeight="1" x14ac:dyDescent="0.2">
      <c r="A787" s="17"/>
      <c r="B787" s="17"/>
      <c r="C787" s="19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" customHeight="1" x14ac:dyDescent="0.2">
      <c r="A788" s="17"/>
      <c r="B788" s="17"/>
      <c r="C788" s="19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" customHeight="1" x14ac:dyDescent="0.2">
      <c r="A789" s="17"/>
      <c r="B789" s="17"/>
      <c r="C789" s="19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" customHeight="1" x14ac:dyDescent="0.2">
      <c r="A790" s="17"/>
      <c r="B790" s="17"/>
      <c r="C790" s="19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" customHeight="1" x14ac:dyDescent="0.2">
      <c r="A791" s="17"/>
      <c r="B791" s="17"/>
      <c r="C791" s="19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" customHeight="1" x14ac:dyDescent="0.2">
      <c r="A792" s="17"/>
      <c r="B792" s="17"/>
      <c r="C792" s="19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" customHeight="1" x14ac:dyDescent="0.2">
      <c r="A793" s="17"/>
      <c r="B793" s="17"/>
      <c r="C793" s="19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" customHeight="1" x14ac:dyDescent="0.2">
      <c r="A794" s="17"/>
      <c r="B794" s="17"/>
      <c r="C794" s="19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" customHeight="1" x14ac:dyDescent="0.2">
      <c r="A795" s="17"/>
      <c r="B795" s="17"/>
      <c r="C795" s="19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" customHeight="1" x14ac:dyDescent="0.2">
      <c r="A796" s="17"/>
      <c r="B796" s="17"/>
      <c r="C796" s="19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" customHeight="1" x14ac:dyDescent="0.2">
      <c r="A797" s="17"/>
      <c r="B797" s="17"/>
      <c r="C797" s="19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" customHeight="1" x14ac:dyDescent="0.2">
      <c r="A798" s="17"/>
      <c r="B798" s="17"/>
      <c r="C798" s="19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" customHeight="1" x14ac:dyDescent="0.2">
      <c r="A799" s="17"/>
      <c r="B799" s="17"/>
      <c r="C799" s="19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" customHeight="1" x14ac:dyDescent="0.2">
      <c r="A800" s="17"/>
      <c r="B800" s="17"/>
      <c r="C800" s="19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" customHeight="1" x14ac:dyDescent="0.2">
      <c r="A801" s="17"/>
      <c r="B801" s="17"/>
      <c r="C801" s="19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" customHeight="1" x14ac:dyDescent="0.2">
      <c r="A802" s="17"/>
      <c r="B802" s="17"/>
      <c r="C802" s="19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" customHeight="1" x14ac:dyDescent="0.2">
      <c r="A803" s="17"/>
      <c r="B803" s="17"/>
      <c r="C803" s="19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" customHeight="1" x14ac:dyDescent="0.2">
      <c r="A804" s="17"/>
      <c r="B804" s="17"/>
      <c r="C804" s="19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" customHeight="1" x14ac:dyDescent="0.2">
      <c r="A805" s="17"/>
      <c r="B805" s="17"/>
      <c r="C805" s="19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" customHeight="1" x14ac:dyDescent="0.2">
      <c r="A806" s="17"/>
      <c r="B806" s="17"/>
      <c r="C806" s="19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" customHeight="1" x14ac:dyDescent="0.2">
      <c r="A807" s="17"/>
      <c r="B807" s="17"/>
      <c r="C807" s="19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" customHeight="1" x14ac:dyDescent="0.2">
      <c r="A808" s="17"/>
      <c r="B808" s="17"/>
      <c r="C808" s="19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" customHeight="1" x14ac:dyDescent="0.2">
      <c r="A809" s="17"/>
      <c r="B809" s="17"/>
      <c r="C809" s="19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" customHeight="1" x14ac:dyDescent="0.2">
      <c r="A810" s="17"/>
      <c r="B810" s="17"/>
      <c r="C810" s="19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" customHeight="1" x14ac:dyDescent="0.2">
      <c r="A811" s="17"/>
      <c r="B811" s="17"/>
      <c r="C811" s="19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" customHeight="1" x14ac:dyDescent="0.2">
      <c r="A812" s="17"/>
      <c r="B812" s="17"/>
      <c r="C812" s="19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" customHeight="1" x14ac:dyDescent="0.2">
      <c r="A813" s="17"/>
      <c r="B813" s="17"/>
      <c r="C813" s="19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" customHeight="1" x14ac:dyDescent="0.2">
      <c r="A814" s="17"/>
      <c r="B814" s="17"/>
      <c r="C814" s="19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" customHeight="1" x14ac:dyDescent="0.2">
      <c r="A815" s="17"/>
      <c r="B815" s="17"/>
      <c r="C815" s="19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" customHeight="1" x14ac:dyDescent="0.2">
      <c r="A816" s="17"/>
      <c r="B816" s="17"/>
      <c r="C816" s="19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" customHeight="1" x14ac:dyDescent="0.2">
      <c r="A817" s="17"/>
      <c r="B817" s="17"/>
      <c r="C817" s="19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" customHeight="1" x14ac:dyDescent="0.2">
      <c r="A818" s="17"/>
      <c r="B818" s="17"/>
      <c r="C818" s="19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" customHeight="1" x14ac:dyDescent="0.2">
      <c r="A819" s="17"/>
      <c r="B819" s="17"/>
      <c r="C819" s="19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" customHeight="1" x14ac:dyDescent="0.2">
      <c r="A820" s="17"/>
      <c r="B820" s="17"/>
      <c r="C820" s="19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" customHeight="1" x14ac:dyDescent="0.2">
      <c r="A821" s="17"/>
      <c r="B821" s="17"/>
      <c r="C821" s="19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" customHeight="1" x14ac:dyDescent="0.2">
      <c r="A822" s="17"/>
      <c r="B822" s="17"/>
      <c r="C822" s="19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" customHeight="1" x14ac:dyDescent="0.2">
      <c r="A823" s="17"/>
      <c r="B823" s="17"/>
      <c r="C823" s="19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" customHeight="1" x14ac:dyDescent="0.2">
      <c r="A824" s="17"/>
      <c r="B824" s="17"/>
      <c r="C824" s="19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" customHeight="1" x14ac:dyDescent="0.2">
      <c r="A825" s="17"/>
      <c r="B825" s="17"/>
      <c r="C825" s="19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" customHeight="1" x14ac:dyDescent="0.2">
      <c r="A826" s="17"/>
      <c r="B826" s="17"/>
      <c r="C826" s="19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" customHeight="1" x14ac:dyDescent="0.2">
      <c r="A827" s="17"/>
      <c r="B827" s="17"/>
      <c r="C827" s="19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" customHeight="1" x14ac:dyDescent="0.2">
      <c r="A828" s="17"/>
      <c r="B828" s="17"/>
      <c r="C828" s="19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" customHeight="1" x14ac:dyDescent="0.2">
      <c r="A829" s="17"/>
      <c r="B829" s="17"/>
      <c r="C829" s="19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" customHeight="1" x14ac:dyDescent="0.2">
      <c r="A830" s="17"/>
      <c r="B830" s="17"/>
      <c r="C830" s="19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" customHeight="1" x14ac:dyDescent="0.2">
      <c r="A831" s="17"/>
      <c r="B831" s="17"/>
      <c r="C831" s="19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" customHeight="1" x14ac:dyDescent="0.2">
      <c r="A832" s="17"/>
      <c r="B832" s="17"/>
      <c r="C832" s="19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" customHeight="1" x14ac:dyDescent="0.2">
      <c r="A833" s="17"/>
      <c r="B833" s="17"/>
      <c r="C833" s="19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" customHeight="1" x14ac:dyDescent="0.2">
      <c r="A834" s="17"/>
      <c r="B834" s="17"/>
      <c r="C834" s="19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" customHeight="1" x14ac:dyDescent="0.2">
      <c r="A835" s="17"/>
      <c r="B835" s="17"/>
      <c r="C835" s="19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" customHeight="1" x14ac:dyDescent="0.2">
      <c r="A836" s="17"/>
      <c r="B836" s="17"/>
      <c r="C836" s="19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" customHeight="1" x14ac:dyDescent="0.2">
      <c r="A837" s="17"/>
      <c r="B837" s="17"/>
      <c r="C837" s="19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" customHeight="1" x14ac:dyDescent="0.2">
      <c r="A838" s="17"/>
      <c r="B838" s="17"/>
      <c r="C838" s="19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" customHeight="1" x14ac:dyDescent="0.2">
      <c r="A839" s="17"/>
      <c r="B839" s="17"/>
      <c r="C839" s="19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" customHeight="1" x14ac:dyDescent="0.2">
      <c r="A840" s="17"/>
      <c r="B840" s="17"/>
      <c r="C840" s="19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" customHeight="1" x14ac:dyDescent="0.2">
      <c r="A841" s="17"/>
      <c r="B841" s="17"/>
      <c r="C841" s="19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" customHeight="1" x14ac:dyDescent="0.2">
      <c r="A842" s="17"/>
      <c r="B842" s="17"/>
      <c r="C842" s="19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" customHeight="1" x14ac:dyDescent="0.2">
      <c r="A843" s="17"/>
      <c r="B843" s="17"/>
      <c r="C843" s="19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" customHeight="1" x14ac:dyDescent="0.2">
      <c r="A844" s="17"/>
      <c r="B844" s="17"/>
      <c r="C844" s="19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" customHeight="1" x14ac:dyDescent="0.2">
      <c r="A845" s="17"/>
      <c r="B845" s="17"/>
      <c r="C845" s="19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" customHeight="1" x14ac:dyDescent="0.2">
      <c r="A846" s="17"/>
      <c r="B846" s="17"/>
      <c r="C846" s="19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" customHeight="1" x14ac:dyDescent="0.2">
      <c r="A847" s="17"/>
      <c r="B847" s="17"/>
      <c r="C847" s="19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" customHeight="1" x14ac:dyDescent="0.2">
      <c r="A848" s="17"/>
      <c r="B848" s="17"/>
      <c r="C848" s="19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" customHeight="1" x14ac:dyDescent="0.2">
      <c r="A849" s="17"/>
      <c r="B849" s="17"/>
      <c r="C849" s="19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" customHeight="1" x14ac:dyDescent="0.2">
      <c r="A850" s="17"/>
      <c r="B850" s="17"/>
      <c r="C850" s="19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" customHeight="1" x14ac:dyDescent="0.2">
      <c r="A851" s="17"/>
      <c r="B851" s="17"/>
      <c r="C851" s="19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" customHeight="1" x14ac:dyDescent="0.2">
      <c r="A852" s="17"/>
      <c r="B852" s="17"/>
      <c r="C852" s="19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" customHeight="1" x14ac:dyDescent="0.2">
      <c r="A853" s="17"/>
      <c r="B853" s="17"/>
      <c r="C853" s="19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" customHeight="1" x14ac:dyDescent="0.2">
      <c r="A854" s="17"/>
      <c r="B854" s="17"/>
      <c r="C854" s="19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" customHeight="1" x14ac:dyDescent="0.2">
      <c r="A855" s="17"/>
      <c r="B855" s="17"/>
      <c r="C855" s="19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" customHeight="1" x14ac:dyDescent="0.2">
      <c r="A856" s="17"/>
      <c r="B856" s="17"/>
      <c r="C856" s="19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" customHeight="1" x14ac:dyDescent="0.2">
      <c r="A857" s="17"/>
      <c r="B857" s="17"/>
      <c r="C857" s="19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" customHeight="1" x14ac:dyDescent="0.2">
      <c r="A858" s="17"/>
      <c r="B858" s="17"/>
      <c r="C858" s="19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" customHeight="1" x14ac:dyDescent="0.2">
      <c r="A859" s="17"/>
      <c r="B859" s="17"/>
      <c r="C859" s="19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" customHeight="1" x14ac:dyDescent="0.2">
      <c r="A860" s="17"/>
      <c r="B860" s="17"/>
      <c r="C860" s="19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" customHeight="1" x14ac:dyDescent="0.2">
      <c r="A861" s="17"/>
      <c r="B861" s="17"/>
      <c r="C861" s="19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" customHeight="1" x14ac:dyDescent="0.2">
      <c r="A862" s="17"/>
      <c r="B862" s="17"/>
      <c r="C862" s="19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" customHeight="1" x14ac:dyDescent="0.2">
      <c r="A863" s="17"/>
      <c r="B863" s="17"/>
      <c r="C863" s="19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" customHeight="1" x14ac:dyDescent="0.2">
      <c r="A864" s="17"/>
      <c r="B864" s="17"/>
      <c r="C864" s="19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" customHeight="1" x14ac:dyDescent="0.2">
      <c r="A865" s="17"/>
      <c r="B865" s="17"/>
      <c r="C865" s="19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" customHeight="1" x14ac:dyDescent="0.2">
      <c r="A866" s="17"/>
      <c r="B866" s="17"/>
      <c r="C866" s="19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" customHeight="1" x14ac:dyDescent="0.2">
      <c r="A867" s="17"/>
      <c r="B867" s="17"/>
      <c r="C867" s="19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" customHeight="1" x14ac:dyDescent="0.2">
      <c r="A868" s="17"/>
      <c r="B868" s="17"/>
      <c r="C868" s="19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" customHeight="1" x14ac:dyDescent="0.2">
      <c r="A869" s="17"/>
      <c r="B869" s="17"/>
      <c r="C869" s="19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" customHeight="1" x14ac:dyDescent="0.2">
      <c r="A870" s="17"/>
      <c r="B870" s="17"/>
      <c r="C870" s="19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" customHeight="1" x14ac:dyDescent="0.2">
      <c r="A871" s="17"/>
      <c r="B871" s="17"/>
      <c r="C871" s="19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" customHeight="1" x14ac:dyDescent="0.2">
      <c r="A872" s="17"/>
      <c r="B872" s="17"/>
      <c r="C872" s="19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" customHeight="1" x14ac:dyDescent="0.2">
      <c r="A873" s="17"/>
      <c r="B873" s="17"/>
      <c r="C873" s="19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" customHeight="1" x14ac:dyDescent="0.2">
      <c r="A874" s="17"/>
      <c r="B874" s="17"/>
      <c r="C874" s="19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" customHeight="1" x14ac:dyDescent="0.2">
      <c r="A875" s="17"/>
      <c r="B875" s="17"/>
      <c r="C875" s="19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" customHeight="1" x14ac:dyDescent="0.2">
      <c r="A876" s="17"/>
      <c r="B876" s="17"/>
      <c r="C876" s="19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" customHeight="1" x14ac:dyDescent="0.2">
      <c r="A877" s="17"/>
      <c r="B877" s="17"/>
      <c r="C877" s="19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" customHeight="1" x14ac:dyDescent="0.2">
      <c r="A878" s="17"/>
      <c r="B878" s="17"/>
      <c r="C878" s="19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" customHeight="1" x14ac:dyDescent="0.2">
      <c r="A879" s="17"/>
      <c r="B879" s="17"/>
      <c r="C879" s="19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" customHeight="1" x14ac:dyDescent="0.2">
      <c r="A880" s="17"/>
      <c r="B880" s="17"/>
      <c r="C880" s="19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" customHeight="1" x14ac:dyDescent="0.2">
      <c r="A881" s="17"/>
      <c r="B881" s="17"/>
      <c r="C881" s="19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" customHeight="1" x14ac:dyDescent="0.2">
      <c r="A882" s="17"/>
      <c r="B882" s="17"/>
      <c r="C882" s="19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" customHeight="1" x14ac:dyDescent="0.2">
      <c r="A883" s="17"/>
      <c r="B883" s="17"/>
      <c r="C883" s="19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" customHeight="1" x14ac:dyDescent="0.2">
      <c r="A884" s="17"/>
      <c r="B884" s="17"/>
      <c r="C884" s="19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" customHeight="1" x14ac:dyDescent="0.2">
      <c r="A885" s="17"/>
      <c r="B885" s="17"/>
      <c r="C885" s="19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" customHeight="1" x14ac:dyDescent="0.2">
      <c r="A886" s="17"/>
      <c r="B886" s="17"/>
      <c r="C886" s="19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" customHeight="1" x14ac:dyDescent="0.2">
      <c r="A887" s="17"/>
      <c r="B887" s="17"/>
      <c r="C887" s="19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" customHeight="1" x14ac:dyDescent="0.2">
      <c r="A888" s="17"/>
      <c r="B888" s="17"/>
      <c r="C888" s="19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" customHeight="1" x14ac:dyDescent="0.2">
      <c r="A889" s="17"/>
      <c r="B889" s="17"/>
      <c r="C889" s="19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" customHeight="1" x14ac:dyDescent="0.2">
      <c r="A890" s="17"/>
      <c r="B890" s="17"/>
      <c r="C890" s="19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" customHeight="1" x14ac:dyDescent="0.2">
      <c r="A891" s="17"/>
      <c r="B891" s="17"/>
      <c r="C891" s="19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" customHeight="1" x14ac:dyDescent="0.2">
      <c r="A892" s="17"/>
      <c r="B892" s="17"/>
      <c r="C892" s="19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" customHeight="1" x14ac:dyDescent="0.2">
      <c r="A893" s="17"/>
      <c r="B893" s="17"/>
      <c r="C893" s="19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" customHeight="1" x14ac:dyDescent="0.2">
      <c r="A894" s="17"/>
      <c r="B894" s="17"/>
      <c r="C894" s="19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" customHeight="1" x14ac:dyDescent="0.2">
      <c r="A895" s="17"/>
      <c r="B895" s="17"/>
      <c r="C895" s="19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" customHeight="1" x14ac:dyDescent="0.2">
      <c r="A896" s="17"/>
      <c r="B896" s="17"/>
      <c r="C896" s="19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" customHeight="1" x14ac:dyDescent="0.2">
      <c r="A897" s="17"/>
      <c r="B897" s="17"/>
      <c r="C897" s="19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" customHeight="1" x14ac:dyDescent="0.2">
      <c r="A898" s="17"/>
      <c r="B898" s="17"/>
      <c r="C898" s="19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" customHeight="1" x14ac:dyDescent="0.2">
      <c r="A899" s="17"/>
      <c r="B899" s="17"/>
      <c r="C899" s="19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" customHeight="1" x14ac:dyDescent="0.2">
      <c r="A900" s="17"/>
      <c r="B900" s="17"/>
      <c r="C900" s="19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" customHeight="1" x14ac:dyDescent="0.2">
      <c r="A901" s="17"/>
      <c r="B901" s="17"/>
      <c r="C901" s="19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" customHeight="1" x14ac:dyDescent="0.2">
      <c r="A902" s="17"/>
      <c r="B902" s="17"/>
      <c r="C902" s="19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" customHeight="1" x14ac:dyDescent="0.2">
      <c r="A903" s="17"/>
      <c r="B903" s="17"/>
      <c r="C903" s="19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" customHeight="1" x14ac:dyDescent="0.2">
      <c r="A904" s="17"/>
      <c r="B904" s="17"/>
      <c r="C904" s="19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" customHeight="1" x14ac:dyDescent="0.2">
      <c r="A905" s="17"/>
      <c r="B905" s="17"/>
      <c r="C905" s="19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" customHeight="1" x14ac:dyDescent="0.2">
      <c r="A906" s="17"/>
      <c r="B906" s="17"/>
      <c r="C906" s="19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" customHeight="1" x14ac:dyDescent="0.2">
      <c r="A907" s="17"/>
      <c r="B907" s="17"/>
      <c r="C907" s="19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" customHeight="1" x14ac:dyDescent="0.2">
      <c r="A908" s="17"/>
      <c r="B908" s="17"/>
      <c r="C908" s="19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" customHeight="1" x14ac:dyDescent="0.2">
      <c r="A909" s="17"/>
      <c r="B909" s="17"/>
      <c r="C909" s="19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" customHeight="1" x14ac:dyDescent="0.2">
      <c r="A910" s="17"/>
      <c r="B910" s="17"/>
      <c r="C910" s="19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" customHeight="1" x14ac:dyDescent="0.2">
      <c r="A911" s="17"/>
      <c r="B911" s="17"/>
      <c r="C911" s="19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" customHeight="1" x14ac:dyDescent="0.2">
      <c r="A912" s="17"/>
      <c r="B912" s="17"/>
      <c r="C912" s="19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" customHeight="1" x14ac:dyDescent="0.2">
      <c r="A913" s="17"/>
      <c r="B913" s="17"/>
      <c r="C913" s="19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" customHeight="1" x14ac:dyDescent="0.2">
      <c r="A914" s="17"/>
      <c r="B914" s="17"/>
      <c r="C914" s="19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" customHeight="1" x14ac:dyDescent="0.2">
      <c r="A915" s="17"/>
      <c r="B915" s="17"/>
      <c r="C915" s="19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" customHeight="1" x14ac:dyDescent="0.2">
      <c r="A916" s="17"/>
      <c r="B916" s="17"/>
      <c r="C916" s="19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" customHeight="1" x14ac:dyDescent="0.2">
      <c r="A917" s="17"/>
      <c r="B917" s="17"/>
      <c r="C917" s="19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" customHeight="1" x14ac:dyDescent="0.2">
      <c r="A918" s="17"/>
      <c r="B918" s="17"/>
      <c r="C918" s="19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" customHeight="1" x14ac:dyDescent="0.2">
      <c r="A919" s="17"/>
      <c r="B919" s="17"/>
      <c r="C919" s="19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" customHeight="1" x14ac:dyDescent="0.2">
      <c r="A920" s="17"/>
      <c r="B920" s="17"/>
      <c r="C920" s="19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" customHeight="1" x14ac:dyDescent="0.2">
      <c r="A921" s="17"/>
      <c r="B921" s="17"/>
      <c r="C921" s="19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" customHeight="1" x14ac:dyDescent="0.2">
      <c r="A922" s="17"/>
      <c r="B922" s="17"/>
      <c r="C922" s="19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" customHeight="1" x14ac:dyDescent="0.2">
      <c r="A923" s="17"/>
      <c r="B923" s="17"/>
      <c r="C923" s="19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" customHeight="1" x14ac:dyDescent="0.2">
      <c r="A924" s="17"/>
      <c r="B924" s="17"/>
      <c r="C924" s="19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" customHeight="1" x14ac:dyDescent="0.2">
      <c r="A925" s="17"/>
      <c r="B925" s="17"/>
      <c r="C925" s="19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" customHeight="1" x14ac:dyDescent="0.2">
      <c r="A926" s="17"/>
      <c r="B926" s="17"/>
      <c r="C926" s="19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" customHeight="1" x14ac:dyDescent="0.2">
      <c r="A927" s="17"/>
      <c r="B927" s="17"/>
      <c r="C927" s="19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" customHeight="1" x14ac:dyDescent="0.2">
      <c r="A928" s="17"/>
      <c r="B928" s="17"/>
      <c r="C928" s="19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" customHeight="1" x14ac:dyDescent="0.2">
      <c r="A929" s="17"/>
      <c r="B929" s="17"/>
      <c r="C929" s="19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" customHeight="1" x14ac:dyDescent="0.2">
      <c r="A930" s="17"/>
      <c r="B930" s="17"/>
      <c r="C930" s="19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" customHeight="1" x14ac:dyDescent="0.2">
      <c r="A931" s="17"/>
      <c r="B931" s="17"/>
      <c r="C931" s="19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" customHeight="1" x14ac:dyDescent="0.2">
      <c r="A932" s="17"/>
      <c r="B932" s="17"/>
      <c r="C932" s="19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" customHeight="1" x14ac:dyDescent="0.2">
      <c r="A933" s="17"/>
      <c r="B933" s="17"/>
      <c r="C933" s="19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" customHeight="1" x14ac:dyDescent="0.2">
      <c r="A934" s="17"/>
      <c r="B934" s="17"/>
      <c r="C934" s="19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" customHeight="1" x14ac:dyDescent="0.2">
      <c r="A935" s="17"/>
      <c r="B935" s="17"/>
      <c r="C935" s="19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" customHeight="1" x14ac:dyDescent="0.2">
      <c r="A936" s="17"/>
      <c r="B936" s="17"/>
      <c r="C936" s="19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" customHeight="1" x14ac:dyDescent="0.2">
      <c r="A937" s="17"/>
      <c r="B937" s="17"/>
      <c r="C937" s="19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" customHeight="1" x14ac:dyDescent="0.2">
      <c r="A938" s="17"/>
      <c r="B938" s="17"/>
      <c r="C938" s="19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" customHeight="1" x14ac:dyDescent="0.2">
      <c r="A939" s="17"/>
      <c r="B939" s="17"/>
      <c r="C939" s="19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" customHeight="1" x14ac:dyDescent="0.2">
      <c r="A940" s="17"/>
      <c r="B940" s="17"/>
      <c r="C940" s="19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" customHeight="1" x14ac:dyDescent="0.2">
      <c r="A941" s="17"/>
      <c r="B941" s="17"/>
      <c r="C941" s="19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" customHeight="1" x14ac:dyDescent="0.2">
      <c r="A942" s="17"/>
      <c r="B942" s="17"/>
      <c r="C942" s="19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" customHeight="1" x14ac:dyDescent="0.2">
      <c r="A943" s="17"/>
      <c r="B943" s="17"/>
      <c r="C943" s="19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" customHeight="1" x14ac:dyDescent="0.2">
      <c r="A944" s="17"/>
      <c r="B944" s="17"/>
      <c r="C944" s="19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" customHeight="1" x14ac:dyDescent="0.2">
      <c r="A945" s="17"/>
      <c r="B945" s="17"/>
      <c r="C945" s="19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" customHeight="1" x14ac:dyDescent="0.2">
      <c r="A946" s="17"/>
      <c r="B946" s="17"/>
      <c r="C946" s="19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" customHeight="1" x14ac:dyDescent="0.2">
      <c r="A947" s="17"/>
      <c r="B947" s="17"/>
      <c r="C947" s="19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" customHeight="1" x14ac:dyDescent="0.2">
      <c r="A948" s="17"/>
      <c r="B948" s="17"/>
      <c r="C948" s="19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" customHeight="1" x14ac:dyDescent="0.2">
      <c r="A949" s="17"/>
      <c r="B949" s="17"/>
      <c r="C949" s="19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" customHeight="1" x14ac:dyDescent="0.2">
      <c r="A950" s="17"/>
      <c r="B950" s="17"/>
      <c r="C950" s="19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" customHeight="1" x14ac:dyDescent="0.2">
      <c r="A951" s="17"/>
      <c r="B951" s="17"/>
      <c r="C951" s="19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" customHeight="1" x14ac:dyDescent="0.2">
      <c r="A952" s="17"/>
      <c r="B952" s="17"/>
      <c r="C952" s="19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" customHeight="1" x14ac:dyDescent="0.2">
      <c r="A953" s="17"/>
      <c r="B953" s="17"/>
      <c r="C953" s="19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" customHeight="1" x14ac:dyDescent="0.2">
      <c r="A954" s="17"/>
      <c r="B954" s="17"/>
      <c r="C954" s="19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" customHeight="1" x14ac:dyDescent="0.2">
      <c r="A955" s="17"/>
      <c r="B955" s="17"/>
      <c r="C955" s="19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" customHeight="1" x14ac:dyDescent="0.2">
      <c r="A956" s="17"/>
      <c r="B956" s="17"/>
      <c r="C956" s="19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" customHeight="1" x14ac:dyDescent="0.2">
      <c r="A957" s="17"/>
      <c r="B957" s="17"/>
      <c r="C957" s="19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" customHeight="1" x14ac:dyDescent="0.2">
      <c r="A958" s="17"/>
      <c r="B958" s="17"/>
      <c r="C958" s="19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" customHeight="1" x14ac:dyDescent="0.2">
      <c r="A959" s="17"/>
      <c r="B959" s="17"/>
      <c r="C959" s="19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" customHeight="1" x14ac:dyDescent="0.2">
      <c r="A960" s="17"/>
      <c r="B960" s="17"/>
      <c r="C960" s="19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" customHeight="1" x14ac:dyDescent="0.2">
      <c r="A961" s="17"/>
      <c r="B961" s="17"/>
      <c r="C961" s="19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" customHeight="1" x14ac:dyDescent="0.2">
      <c r="A962" s="17"/>
      <c r="B962" s="17"/>
      <c r="C962" s="19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" customHeight="1" x14ac:dyDescent="0.2">
      <c r="A963" s="17"/>
      <c r="B963" s="17"/>
      <c r="C963" s="19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" customHeight="1" x14ac:dyDescent="0.2">
      <c r="A964" s="17"/>
      <c r="B964" s="17"/>
      <c r="C964" s="19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" customHeight="1" x14ac:dyDescent="0.2">
      <c r="A965" s="17"/>
      <c r="B965" s="17"/>
      <c r="C965" s="19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" customHeight="1" x14ac:dyDescent="0.2">
      <c r="A966" s="17"/>
      <c r="B966" s="17"/>
      <c r="C966" s="19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" customHeight="1" x14ac:dyDescent="0.2">
      <c r="A967" s="17"/>
      <c r="B967" s="17"/>
      <c r="C967" s="19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" customHeight="1" x14ac:dyDescent="0.2">
      <c r="A968" s="17"/>
      <c r="B968" s="17"/>
      <c r="C968" s="19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" customHeight="1" x14ac:dyDescent="0.2">
      <c r="A969" s="17"/>
      <c r="B969" s="17"/>
      <c r="C969" s="19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" customHeight="1" x14ac:dyDescent="0.2">
      <c r="A970" s="17"/>
      <c r="B970" s="17"/>
      <c r="C970" s="19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" customHeight="1" x14ac:dyDescent="0.2">
      <c r="A971" s="17"/>
      <c r="B971" s="17"/>
      <c r="C971" s="19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" customHeight="1" x14ac:dyDescent="0.2">
      <c r="A972" s="17"/>
      <c r="B972" s="17"/>
      <c r="C972" s="19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" customHeight="1" x14ac:dyDescent="0.2">
      <c r="A973" s="17"/>
      <c r="B973" s="17"/>
      <c r="C973" s="19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" customHeight="1" x14ac:dyDescent="0.2">
      <c r="A974" s="17"/>
      <c r="B974" s="17"/>
      <c r="C974" s="19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" customHeight="1" x14ac:dyDescent="0.2">
      <c r="A975" s="17"/>
      <c r="B975" s="17"/>
      <c r="C975" s="19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" customHeight="1" x14ac:dyDescent="0.2">
      <c r="A976" s="17"/>
      <c r="B976" s="17"/>
      <c r="C976" s="19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" customHeight="1" x14ac:dyDescent="0.2">
      <c r="A977" s="17"/>
      <c r="B977" s="17"/>
      <c r="C977" s="19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" customHeight="1" x14ac:dyDescent="0.2">
      <c r="A978" s="17"/>
      <c r="B978" s="17"/>
      <c r="C978" s="19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" customHeight="1" x14ac:dyDescent="0.2">
      <c r="A979" s="17"/>
      <c r="B979" s="17"/>
      <c r="C979" s="19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" customHeight="1" x14ac:dyDescent="0.2">
      <c r="A980" s="17"/>
      <c r="B980" s="17"/>
      <c r="C980" s="19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" customHeight="1" x14ac:dyDescent="0.2">
      <c r="A981" s="17"/>
      <c r="B981" s="17"/>
      <c r="C981" s="19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" customHeight="1" x14ac:dyDescent="0.2">
      <c r="A982" s="17"/>
      <c r="B982" s="17"/>
      <c r="C982" s="19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" customHeight="1" x14ac:dyDescent="0.2">
      <c r="A983" s="17"/>
      <c r="B983" s="17"/>
      <c r="C983" s="19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" customHeight="1" x14ac:dyDescent="0.2">
      <c r="A984" s="17"/>
      <c r="B984" s="17"/>
      <c r="C984" s="19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" customHeight="1" x14ac:dyDescent="0.2">
      <c r="A985" s="17"/>
      <c r="B985" s="17"/>
      <c r="C985" s="19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" customHeight="1" x14ac:dyDescent="0.2">
      <c r="A986" s="17"/>
      <c r="B986" s="17"/>
      <c r="C986" s="19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" customHeight="1" x14ac:dyDescent="0.2">
      <c r="A987" s="17"/>
      <c r="B987" s="17"/>
      <c r="C987" s="19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" customHeight="1" x14ac:dyDescent="0.2">
      <c r="A988" s="17"/>
      <c r="B988" s="17"/>
      <c r="C988" s="19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" customHeight="1" x14ac:dyDescent="0.2">
      <c r="A989" s="17"/>
      <c r="B989" s="17"/>
      <c r="C989" s="19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" customHeight="1" x14ac:dyDescent="0.2">
      <c r="A990" s="17"/>
      <c r="B990" s="17"/>
      <c r="C990" s="19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" customHeight="1" x14ac:dyDescent="0.2">
      <c r="A991" s="17"/>
      <c r="B991" s="17"/>
      <c r="C991" s="19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" customHeight="1" x14ac:dyDescent="0.2">
      <c r="A992" s="17"/>
      <c r="B992" s="17"/>
      <c r="C992" s="19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" customHeight="1" x14ac:dyDescent="0.2">
      <c r="A993" s="17"/>
      <c r="B993" s="17"/>
      <c r="C993" s="19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" customHeight="1" x14ac:dyDescent="0.2">
      <c r="A994" s="17"/>
      <c r="B994" s="17"/>
      <c r="C994" s="19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" customHeight="1" x14ac:dyDescent="0.2">
      <c r="A995" s="17"/>
      <c r="B995" s="17"/>
      <c r="C995" s="19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" customHeight="1" x14ac:dyDescent="0.2">
      <c r="A996" s="17"/>
      <c r="B996" s="17"/>
      <c r="C996" s="19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" customHeight="1" x14ac:dyDescent="0.2">
      <c r="A997" s="17"/>
      <c r="B997" s="17"/>
      <c r="C997" s="19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" customHeight="1" x14ac:dyDescent="0.2">
      <c r="A998" s="17"/>
      <c r="B998" s="17"/>
      <c r="C998" s="19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12" customHeight="1" x14ac:dyDescent="0.2">
      <c r="A999" s="17"/>
      <c r="B999" s="17"/>
      <c r="C999" s="19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12" customHeight="1" x14ac:dyDescent="0.2">
      <c r="A1000" s="17"/>
      <c r="B1000" s="17"/>
      <c r="C1000" s="19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</sheetData>
  <printOptions horizontalCentered="1" verticalCentered="1"/>
  <pageMargins left="0.23622047244094491" right="0.23622047244094491" top="0.74803149606299213" bottom="0.74803149606299213" header="0" footer="0"/>
  <pageSetup paperSize="9" scale="3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33CC"/>
  </sheetPr>
  <dimension ref="A1:C1000"/>
  <sheetViews>
    <sheetView view="pageBreakPreview" zoomScale="60" zoomScaleNormal="100" workbookViewId="0">
      <selection activeCell="C12" sqref="C12"/>
    </sheetView>
  </sheetViews>
  <sheetFormatPr defaultColWidth="12.625" defaultRowHeight="15" customHeight="1" x14ac:dyDescent="0.2"/>
  <cols>
    <col min="1" max="1" width="64.125" customWidth="1"/>
    <col min="2" max="26" width="6.625" customWidth="1"/>
  </cols>
  <sheetData>
    <row r="1" spans="1:3" ht="134.25" customHeight="1" x14ac:dyDescent="0.2">
      <c r="A1" s="796" t="s">
        <v>366</v>
      </c>
      <c r="B1" s="796"/>
      <c r="C1" s="796"/>
    </row>
    <row r="2" spans="1:3" ht="39.6" customHeight="1" x14ac:dyDescent="0.25">
      <c r="A2" s="39" t="s">
        <v>334</v>
      </c>
    </row>
    <row r="3" spans="1:3" ht="49.5" customHeight="1" x14ac:dyDescent="0.25">
      <c r="A3" s="39" t="s">
        <v>335</v>
      </c>
    </row>
    <row r="4" spans="1:3" ht="14.25" customHeight="1" x14ac:dyDescent="0.25">
      <c r="A4" s="39"/>
    </row>
    <row r="5" spans="1:3" ht="14.25" customHeight="1" x14ac:dyDescent="0.25">
      <c r="A5" s="39"/>
    </row>
    <row r="6" spans="1:3" ht="14.25" customHeight="1" x14ac:dyDescent="0.25">
      <c r="A6" s="39"/>
    </row>
    <row r="7" spans="1:3" ht="14.25" customHeight="1" x14ac:dyDescent="0.25">
      <c r="A7" s="39"/>
    </row>
    <row r="8" spans="1:3" ht="14.25" customHeight="1" x14ac:dyDescent="0.25">
      <c r="A8" s="39"/>
    </row>
    <row r="9" spans="1:3" ht="14.25" customHeight="1" x14ac:dyDescent="0.2"/>
    <row r="10" spans="1:3" ht="14.25" customHeight="1" x14ac:dyDescent="0.2"/>
    <row r="11" spans="1:3" ht="14.25" customHeight="1" x14ac:dyDescent="0.2"/>
    <row r="12" spans="1:3" ht="14.25" customHeight="1" x14ac:dyDescent="0.2"/>
    <row r="13" spans="1:3" ht="14.25" customHeight="1" x14ac:dyDescent="0.2"/>
    <row r="14" spans="1:3" ht="14.25" customHeight="1" x14ac:dyDescent="0.2"/>
    <row r="15" spans="1:3" ht="14.25" customHeight="1" x14ac:dyDescent="0.2"/>
    <row r="16" spans="1:3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mergeCells count="1">
    <mergeCell ref="A1:C1"/>
  </mergeCells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FFCC"/>
  </sheetPr>
  <dimension ref="A1:C1000"/>
  <sheetViews>
    <sheetView zoomScaleNormal="100" workbookViewId="0">
      <selection activeCell="G17" sqref="G17"/>
    </sheetView>
  </sheetViews>
  <sheetFormatPr defaultColWidth="12.625" defaultRowHeight="15" customHeight="1" x14ac:dyDescent="0.2"/>
  <cols>
    <col min="1" max="1" width="8.875" customWidth="1"/>
    <col min="2" max="2" width="10" customWidth="1"/>
    <col min="3" max="26" width="6.625" customWidth="1"/>
  </cols>
  <sheetData>
    <row r="1" spans="1:3" ht="14.25" customHeight="1" x14ac:dyDescent="0.25">
      <c r="A1" s="40" t="s">
        <v>336</v>
      </c>
      <c r="B1" s="40" t="s">
        <v>337</v>
      </c>
      <c r="C1" s="40">
        <v>1</v>
      </c>
    </row>
    <row r="2" spans="1:3" ht="14.25" customHeight="1" x14ac:dyDescent="0.25">
      <c r="A2" s="40" t="s">
        <v>338</v>
      </c>
      <c r="B2" s="40" t="s">
        <v>337</v>
      </c>
      <c r="C2" s="40">
        <v>2</v>
      </c>
    </row>
    <row r="3" spans="1:3" ht="14.25" customHeight="1" x14ac:dyDescent="0.25">
      <c r="A3" s="40" t="s">
        <v>336</v>
      </c>
      <c r="B3" s="40" t="s">
        <v>339</v>
      </c>
      <c r="C3" s="40">
        <v>1</v>
      </c>
    </row>
    <row r="4" spans="1:3" ht="14.25" customHeight="1" x14ac:dyDescent="0.25">
      <c r="A4" s="40" t="s">
        <v>338</v>
      </c>
      <c r="B4" s="40" t="s">
        <v>339</v>
      </c>
      <c r="C4" s="40">
        <v>2</v>
      </c>
    </row>
    <row r="5" spans="1:3" ht="14.25" customHeight="1" x14ac:dyDescent="0.25">
      <c r="A5" s="40" t="s">
        <v>340</v>
      </c>
      <c r="B5" s="40" t="s">
        <v>339</v>
      </c>
      <c r="C5" s="40">
        <v>4</v>
      </c>
    </row>
    <row r="6" spans="1:3" ht="14.25" customHeight="1" x14ac:dyDescent="0.2"/>
    <row r="7" spans="1:3" ht="14.25" customHeight="1" x14ac:dyDescent="0.2"/>
    <row r="8" spans="1:3" ht="14.25" customHeight="1" x14ac:dyDescent="0.2"/>
    <row r="9" spans="1:3" ht="14.25" customHeight="1" x14ac:dyDescent="0.2"/>
    <row r="10" spans="1:3" ht="14.25" customHeight="1" x14ac:dyDescent="0.2"/>
    <row r="11" spans="1:3" ht="14.25" customHeight="1" x14ac:dyDescent="0.2"/>
    <row r="12" spans="1:3" ht="14.25" customHeight="1" x14ac:dyDescent="0.2"/>
    <row r="13" spans="1:3" ht="14.25" customHeight="1" x14ac:dyDescent="0.2"/>
    <row r="14" spans="1:3" ht="14.25" customHeight="1" x14ac:dyDescent="0.2"/>
    <row r="15" spans="1:3" ht="14.25" customHeight="1" x14ac:dyDescent="0.2"/>
    <row r="16" spans="1:3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workbookViewId="0"/>
  </sheetViews>
  <sheetFormatPr defaultColWidth="12.625" defaultRowHeight="15" customHeight="1" x14ac:dyDescent="0.2"/>
  <cols>
    <col min="1" max="26" width="6.625" customWidth="1"/>
  </cols>
  <sheetData>
    <row r="1" spans="1:26" ht="12" customHeight="1" x14ac:dyDescent="0.2">
      <c r="A1" s="41" t="s">
        <v>341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12" customHeight="1" x14ac:dyDescent="0.2">
      <c r="A2" s="41" t="s">
        <v>342</v>
      </c>
      <c r="B2" s="41" t="s">
        <v>343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2" customHeight="1" x14ac:dyDescent="0.2">
      <c r="A3" s="41" t="s">
        <v>344</v>
      </c>
      <c r="B3" s="41" t="s">
        <v>345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12" customHeight="1" x14ac:dyDescent="0.2">
      <c r="A4" s="41" t="s">
        <v>346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2" customHeight="1" x14ac:dyDescent="0.2">
      <c r="A5" s="41" t="s">
        <v>347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2" customHeight="1" x14ac:dyDescent="0.2">
      <c r="A6" s="41" t="s">
        <v>348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" customHeight="1" x14ac:dyDescent="0.2">
      <c r="A7" s="41" t="s">
        <v>349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2" customHeight="1" x14ac:dyDescent="0.25">
      <c r="A8" s="42" t="s">
        <v>350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12" customHeight="1" x14ac:dyDescent="0.25">
      <c r="A9" s="42" t="s">
        <v>351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2" customHeight="1" x14ac:dyDescent="0.25">
      <c r="A10" s="42" t="s">
        <v>352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2" customHeight="1" x14ac:dyDescent="0.25">
      <c r="A11" s="42" t="s">
        <v>353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2" customHeight="1" x14ac:dyDescent="0.25">
      <c r="A12" s="42" t="s">
        <v>354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12" customHeight="1" x14ac:dyDescent="0.2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2" customHeight="1" x14ac:dyDescent="0.2">
      <c r="A14" s="41" t="s">
        <v>355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2" customHeight="1" x14ac:dyDescent="0.2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2" customHeight="1" x14ac:dyDescent="0.2">
      <c r="A16" s="41" t="s">
        <v>356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2" customHeight="1" x14ac:dyDescent="0.25">
      <c r="A17" s="40" t="s">
        <v>357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2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2" customHeight="1" x14ac:dyDescent="0.2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2" customHeight="1" x14ac:dyDescent="0.2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2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2" customHeight="1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2" customHeight="1" x14ac:dyDescent="0.2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2" customHeight="1" x14ac:dyDescent="0.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2" customHeight="1" x14ac:dyDescent="0.2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2" customHeight="1" x14ac:dyDescent="0.2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2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2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2" customHeight="1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2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2" customHeight="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2" customHeight="1" x14ac:dyDescent="0.2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2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2" customHeight="1" x14ac:dyDescent="0.2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2" customHeight="1" x14ac:dyDescent="0.2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2" customHeight="1" x14ac:dyDescent="0.2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2" customHeight="1" x14ac:dyDescent="0.2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2" customHeight="1" x14ac:dyDescent="0.2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2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2" customHeight="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2" customHeight="1" x14ac:dyDescent="0.2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2" customHeight="1" x14ac:dyDescent="0.2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2" customHeight="1" x14ac:dyDescent="0.2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2" customHeight="1" x14ac:dyDescent="0.2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2" customHeight="1" x14ac:dyDescent="0.2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2" customHeight="1" x14ac:dyDescent="0.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2" customHeight="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2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2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2" customHeight="1" x14ac:dyDescent="0.2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2" customHeight="1" x14ac:dyDescent="0.2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2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2" customHeight="1" x14ac:dyDescent="0.2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2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2" customHeight="1" x14ac:dyDescent="0.2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2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2" customHeight="1" x14ac:dyDescent="0.2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2" customHeight="1" x14ac:dyDescent="0.2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2" customHeight="1" x14ac:dyDescent="0.2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2" customHeight="1" x14ac:dyDescent="0.2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2" customHeight="1" x14ac:dyDescent="0.2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2" customHeight="1" x14ac:dyDescent="0.2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2" customHeight="1" x14ac:dyDescent="0.2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2" customHeight="1" x14ac:dyDescent="0.2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2" customHeight="1" x14ac:dyDescent="0.2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2" customHeight="1" x14ac:dyDescent="0.2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2" customHeight="1" x14ac:dyDescent="0.2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2" customHeight="1" x14ac:dyDescent="0.2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2" customHeight="1" x14ac:dyDescent="0.2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2" customHeight="1" x14ac:dyDescent="0.2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2" customHeight="1" x14ac:dyDescent="0.2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2" customHeight="1" x14ac:dyDescent="0.2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2" customHeight="1" x14ac:dyDescent="0.2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2" customHeight="1" x14ac:dyDescent="0.2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2" customHeight="1" x14ac:dyDescent="0.2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2" customHeight="1" x14ac:dyDescent="0.2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2" customHeight="1" x14ac:dyDescent="0.2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2" customHeight="1" x14ac:dyDescent="0.2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2" customHeight="1" x14ac:dyDescent="0.2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2" customHeight="1" x14ac:dyDescent="0.2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2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ht="12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ht="12" customHeight="1" x14ac:dyDescent="0.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ht="12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ht="12" customHeight="1" x14ac:dyDescent="0.2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ht="12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ht="12" customHeight="1" x14ac:dyDescent="0.2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2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2" customHeight="1" x14ac:dyDescent="0.2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2" customHeight="1" x14ac:dyDescent="0.2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2" customHeight="1" x14ac:dyDescent="0.2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2" customHeight="1" x14ac:dyDescent="0.2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2" customHeight="1" x14ac:dyDescent="0.2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2" customHeight="1" x14ac:dyDescent="0.2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2" customHeight="1" x14ac:dyDescent="0.2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2" customHeight="1" x14ac:dyDescent="0.2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2" customHeight="1" x14ac:dyDescent="0.2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2" customHeight="1" x14ac:dyDescent="0.2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2" customHeight="1" x14ac:dyDescent="0.2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2" customHeight="1" x14ac:dyDescent="0.2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2" customHeight="1" x14ac:dyDescent="0.2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2" customHeight="1" x14ac:dyDescent="0.2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2" customHeight="1" x14ac:dyDescent="0.2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2" customHeight="1" x14ac:dyDescent="0.2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2" customHeight="1" x14ac:dyDescent="0.2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2" customHeight="1" x14ac:dyDescent="0.2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2" customHeight="1" x14ac:dyDescent="0.2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2" customHeight="1" x14ac:dyDescent="0.2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2" customHeight="1" x14ac:dyDescent="0.2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2" customHeight="1" x14ac:dyDescent="0.2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2" customHeight="1" x14ac:dyDescent="0.2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2" customHeight="1" x14ac:dyDescent="0.2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2" customHeight="1" x14ac:dyDescent="0.2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2" customHeight="1" x14ac:dyDescent="0.2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2" customHeight="1" x14ac:dyDescent="0.2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2" customHeight="1" x14ac:dyDescent="0.2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2" customHeight="1" x14ac:dyDescent="0.2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2" customHeight="1" x14ac:dyDescent="0.2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2" customHeight="1" x14ac:dyDescent="0.2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2" customHeight="1" x14ac:dyDescent="0.2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2" customHeight="1" x14ac:dyDescent="0.2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2" customHeight="1" x14ac:dyDescent="0.2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2" customHeight="1" x14ac:dyDescent="0.2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2" customHeight="1" x14ac:dyDescent="0.2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2" customHeight="1" x14ac:dyDescent="0.2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2" customHeight="1" x14ac:dyDescent="0.2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2" customHeight="1" x14ac:dyDescent="0.2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2" customHeight="1" x14ac:dyDescent="0.2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2" customHeight="1" x14ac:dyDescent="0.2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2" customHeight="1" x14ac:dyDescent="0.2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2" customHeight="1" x14ac:dyDescent="0.2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2" customHeight="1" x14ac:dyDescent="0.2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2" customHeight="1" x14ac:dyDescent="0.2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2" customHeight="1" x14ac:dyDescent="0.2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2" customHeight="1" x14ac:dyDescent="0.2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2" customHeight="1" x14ac:dyDescent="0.2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2" customHeight="1" x14ac:dyDescent="0.2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2" customHeight="1" x14ac:dyDescent="0.2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2" customHeight="1" x14ac:dyDescent="0.2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2" customHeight="1" x14ac:dyDescent="0.2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2" customHeight="1" x14ac:dyDescent="0.2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2" customHeight="1" x14ac:dyDescent="0.2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2" customHeight="1" x14ac:dyDescent="0.2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2" customHeight="1" x14ac:dyDescent="0.2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2" customHeight="1" x14ac:dyDescent="0.2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2" customHeight="1" x14ac:dyDescent="0.2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2" customHeight="1" x14ac:dyDescent="0.2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2" customHeight="1" x14ac:dyDescent="0.2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2" customHeight="1" x14ac:dyDescent="0.2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2" customHeight="1" x14ac:dyDescent="0.2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2" customHeight="1" x14ac:dyDescent="0.2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ht="12" customHeight="1" x14ac:dyDescent="0.2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ht="12" customHeight="1" x14ac:dyDescent="0.2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ht="12" customHeight="1" x14ac:dyDescent="0.2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ht="12" customHeight="1" x14ac:dyDescent="0.2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ht="12" customHeight="1" x14ac:dyDescent="0.2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ht="12" customHeight="1" x14ac:dyDescent="0.2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ht="12" customHeight="1" x14ac:dyDescent="0.2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ht="12" customHeight="1" x14ac:dyDescent="0.2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ht="12" customHeight="1" x14ac:dyDescent="0.2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ht="12" customHeight="1" x14ac:dyDescent="0.2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ht="12" customHeight="1" x14ac:dyDescent="0.2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ht="12" customHeight="1" x14ac:dyDescent="0.2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ht="12" customHeight="1" x14ac:dyDescent="0.2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ht="12" customHeight="1" x14ac:dyDescent="0.2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ht="12" customHeight="1" x14ac:dyDescent="0.2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ht="12" customHeight="1" x14ac:dyDescent="0.2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ht="12" customHeight="1" x14ac:dyDescent="0.2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ht="12" customHeight="1" x14ac:dyDescent="0.2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ht="12" customHeight="1" x14ac:dyDescent="0.2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ht="12" customHeight="1" x14ac:dyDescent="0.2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ht="12" customHeight="1" x14ac:dyDescent="0.2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ht="12" customHeight="1" x14ac:dyDescent="0.2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ht="12" customHeight="1" x14ac:dyDescent="0.2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ht="12" customHeight="1" x14ac:dyDescent="0.2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ht="12" customHeight="1" x14ac:dyDescent="0.2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ht="12" customHeight="1" x14ac:dyDescent="0.2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ht="12" customHeight="1" x14ac:dyDescent="0.2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ht="12" customHeight="1" x14ac:dyDescent="0.2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ht="12" customHeight="1" x14ac:dyDescent="0.2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ht="12" customHeight="1" x14ac:dyDescent="0.2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ht="12" customHeight="1" x14ac:dyDescent="0.2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ht="12" customHeight="1" x14ac:dyDescent="0.2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ht="12" customHeight="1" x14ac:dyDescent="0.2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ht="12" customHeight="1" x14ac:dyDescent="0.2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ht="12" customHeight="1" x14ac:dyDescent="0.2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ht="12" customHeight="1" x14ac:dyDescent="0.2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ht="12" customHeight="1" x14ac:dyDescent="0.2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ht="12" customHeight="1" x14ac:dyDescent="0.2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ht="12" customHeight="1" x14ac:dyDescent="0.2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ht="12" customHeight="1" x14ac:dyDescent="0.2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ht="12" customHeight="1" x14ac:dyDescent="0.2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2" customHeight="1" x14ac:dyDescent="0.2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ht="12" customHeight="1" x14ac:dyDescent="0.2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ht="12" customHeight="1" x14ac:dyDescent="0.2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ht="12" customHeight="1" x14ac:dyDescent="0.2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ht="12" customHeight="1" x14ac:dyDescent="0.2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ht="12" customHeight="1" x14ac:dyDescent="0.2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ht="12" customHeight="1" x14ac:dyDescent="0.2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ht="12" customHeight="1" x14ac:dyDescent="0.2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1:26" ht="12" customHeight="1" x14ac:dyDescent="0.2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26" ht="12" customHeight="1" x14ac:dyDescent="0.2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1:26" ht="12" customHeight="1" x14ac:dyDescent="0.2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1:26" ht="12" customHeight="1" x14ac:dyDescent="0.2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1:26" ht="12" customHeight="1" x14ac:dyDescent="0.2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26" ht="12" customHeight="1" x14ac:dyDescent="0.2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1:26" ht="12" customHeight="1" x14ac:dyDescent="0.2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26" ht="12" customHeight="1" x14ac:dyDescent="0.2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1:26" ht="12" customHeight="1" x14ac:dyDescent="0.2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26" ht="12" customHeight="1" x14ac:dyDescent="0.2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1:26" ht="12" customHeight="1" x14ac:dyDescent="0.2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26" ht="12" customHeight="1" x14ac:dyDescent="0.2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1:26" ht="12" customHeight="1" x14ac:dyDescent="0.2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1:26" ht="12" customHeight="1" x14ac:dyDescent="0.2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1:26" ht="12" customHeight="1" x14ac:dyDescent="0.2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26" ht="12" customHeight="1" x14ac:dyDescent="0.2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1:26" ht="12" customHeight="1" x14ac:dyDescent="0.2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26" ht="12" customHeight="1" x14ac:dyDescent="0.2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1:26" ht="12" customHeight="1" x14ac:dyDescent="0.2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26" ht="12" customHeight="1" x14ac:dyDescent="0.2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1:26" ht="12" customHeight="1" x14ac:dyDescent="0.2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1:26" ht="12" customHeight="1" x14ac:dyDescent="0.2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spans="1:26" ht="12" customHeight="1" x14ac:dyDescent="0.2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spans="1:26" ht="12" customHeight="1" x14ac:dyDescent="0.2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spans="1:26" ht="12" customHeight="1" x14ac:dyDescent="0.2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1:26" ht="12" customHeight="1" x14ac:dyDescent="0.2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spans="1:26" ht="12" customHeight="1" x14ac:dyDescent="0.2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1:26" ht="12" customHeight="1" x14ac:dyDescent="0.2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spans="1:26" ht="12" customHeight="1" x14ac:dyDescent="0.2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1:26" ht="12" customHeight="1" x14ac:dyDescent="0.2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spans="1:26" ht="12" customHeight="1" x14ac:dyDescent="0.2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spans="1:26" ht="12" customHeight="1" x14ac:dyDescent="0.2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spans="1:26" ht="12" customHeight="1" x14ac:dyDescent="0.2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spans="1:26" ht="12" customHeight="1" x14ac:dyDescent="0.2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spans="1:26" ht="12" customHeight="1" x14ac:dyDescent="0.2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spans="1:26" ht="12" customHeight="1" x14ac:dyDescent="0.2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spans="1:26" ht="12" customHeight="1" x14ac:dyDescent="0.2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spans="1:26" ht="12" customHeight="1" x14ac:dyDescent="0.2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spans="1:26" ht="12" customHeight="1" x14ac:dyDescent="0.2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1:26" ht="12" customHeight="1" x14ac:dyDescent="0.2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spans="1:26" ht="12" customHeight="1" x14ac:dyDescent="0.2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1:26" ht="12" customHeight="1" x14ac:dyDescent="0.2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spans="1:26" ht="12" customHeight="1" x14ac:dyDescent="0.2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1:26" ht="12" customHeight="1" x14ac:dyDescent="0.2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spans="1:26" ht="12" customHeight="1" x14ac:dyDescent="0.2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1:26" ht="12" customHeight="1" x14ac:dyDescent="0.2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spans="1:26" ht="12" customHeight="1" x14ac:dyDescent="0.2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spans="1:26" ht="12" customHeight="1" x14ac:dyDescent="0.2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spans="1:26" ht="12" customHeight="1" x14ac:dyDescent="0.2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1:26" ht="12" customHeight="1" x14ac:dyDescent="0.2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spans="1:26" ht="12" customHeight="1" x14ac:dyDescent="0.2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1:26" ht="12" customHeight="1" x14ac:dyDescent="0.2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spans="1:26" ht="12" customHeight="1" x14ac:dyDescent="0.2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1:26" ht="12" customHeight="1" x14ac:dyDescent="0.2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spans="1:26" ht="12" customHeight="1" x14ac:dyDescent="0.2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1:26" ht="12" customHeight="1" x14ac:dyDescent="0.2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spans="1:26" ht="12" customHeight="1" x14ac:dyDescent="0.2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spans="1:26" ht="12" customHeight="1" x14ac:dyDescent="0.2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spans="1:26" ht="12" customHeight="1" x14ac:dyDescent="0.2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1:26" ht="12" customHeight="1" x14ac:dyDescent="0.2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spans="1:26" ht="12" customHeight="1" x14ac:dyDescent="0.2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1:26" ht="12" customHeight="1" x14ac:dyDescent="0.2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spans="1:26" ht="12" customHeight="1" x14ac:dyDescent="0.2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1:26" ht="12" customHeight="1" x14ac:dyDescent="0.2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spans="1:26" ht="12" customHeight="1" x14ac:dyDescent="0.2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1:26" ht="12" customHeight="1" x14ac:dyDescent="0.2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spans="1:26" ht="12" customHeight="1" x14ac:dyDescent="0.2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1:26" ht="12" customHeight="1" x14ac:dyDescent="0.2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spans="1:26" ht="12" customHeight="1" x14ac:dyDescent="0.2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1:26" ht="12" customHeight="1" x14ac:dyDescent="0.2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spans="1:26" ht="12" customHeight="1" x14ac:dyDescent="0.2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1:26" ht="12" customHeight="1" x14ac:dyDescent="0.2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spans="1:26" ht="12" customHeight="1" x14ac:dyDescent="0.2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1:26" ht="12" customHeight="1" x14ac:dyDescent="0.2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spans="1:26" ht="12" customHeight="1" x14ac:dyDescent="0.2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1:26" ht="12" customHeight="1" x14ac:dyDescent="0.2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spans="1:26" ht="12" customHeight="1" x14ac:dyDescent="0.2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spans="1:26" ht="12" customHeight="1" x14ac:dyDescent="0.2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spans="1:26" ht="12" customHeight="1" x14ac:dyDescent="0.2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spans="1:26" ht="12" customHeight="1" x14ac:dyDescent="0.2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spans="1:26" ht="12" customHeight="1" x14ac:dyDescent="0.2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spans="1:26" ht="12" customHeight="1" x14ac:dyDescent="0.2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spans="1:26" ht="12" customHeight="1" x14ac:dyDescent="0.2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1:26" ht="12" customHeight="1" x14ac:dyDescent="0.2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spans="1:26" ht="12" customHeight="1" x14ac:dyDescent="0.2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1:26" ht="12" customHeight="1" x14ac:dyDescent="0.2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spans="1:26" ht="12" customHeight="1" x14ac:dyDescent="0.2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1:26" ht="12" customHeight="1" x14ac:dyDescent="0.2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spans="1:26" ht="12" customHeight="1" x14ac:dyDescent="0.2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1:26" ht="12" customHeight="1" x14ac:dyDescent="0.2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spans="1:26" ht="12" customHeight="1" x14ac:dyDescent="0.2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1:26" ht="12" customHeight="1" x14ac:dyDescent="0.2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spans="1:26" ht="12" customHeight="1" x14ac:dyDescent="0.2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1:26" ht="12" customHeight="1" x14ac:dyDescent="0.2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spans="1:26" ht="12" customHeight="1" x14ac:dyDescent="0.2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1:26" ht="12" customHeight="1" x14ac:dyDescent="0.2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spans="1:26" ht="12" customHeight="1" x14ac:dyDescent="0.2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1:26" ht="12" customHeight="1" x14ac:dyDescent="0.2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spans="1:26" ht="12" customHeight="1" x14ac:dyDescent="0.2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1:26" ht="12" customHeight="1" x14ac:dyDescent="0.2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spans="1:26" ht="12" customHeight="1" x14ac:dyDescent="0.2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1:26" ht="12" customHeight="1" x14ac:dyDescent="0.2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spans="1:26" ht="12" customHeight="1" x14ac:dyDescent="0.2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1:26" ht="12" customHeight="1" x14ac:dyDescent="0.2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spans="1:26" ht="12" customHeight="1" x14ac:dyDescent="0.2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1:26" ht="12" customHeight="1" x14ac:dyDescent="0.2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spans="1:26" ht="12" customHeight="1" x14ac:dyDescent="0.2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1:26" ht="12" customHeight="1" x14ac:dyDescent="0.2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spans="1:26" ht="12" customHeight="1" x14ac:dyDescent="0.2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1:26" ht="12" customHeight="1" x14ac:dyDescent="0.2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spans="1:26" ht="12" customHeight="1" x14ac:dyDescent="0.2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spans="1:26" ht="12" customHeight="1" x14ac:dyDescent="0.2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spans="1:26" ht="12" customHeight="1" x14ac:dyDescent="0.2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1:26" ht="12" customHeight="1" x14ac:dyDescent="0.2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spans="1:26" ht="12" customHeight="1" x14ac:dyDescent="0.2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1:26" ht="12" customHeight="1" x14ac:dyDescent="0.2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spans="1:26" ht="12" customHeight="1" x14ac:dyDescent="0.2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1:26" ht="12" customHeight="1" x14ac:dyDescent="0.2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spans="1:26" ht="12" customHeight="1" x14ac:dyDescent="0.2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1:26" ht="12" customHeight="1" x14ac:dyDescent="0.2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spans="1:26" ht="12" customHeight="1" x14ac:dyDescent="0.2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spans="1:26" ht="12" customHeight="1" x14ac:dyDescent="0.2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spans="1:26" ht="12" customHeight="1" x14ac:dyDescent="0.2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spans="1:26" ht="12" customHeight="1" x14ac:dyDescent="0.2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spans="1:26" ht="12" customHeight="1" x14ac:dyDescent="0.2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spans="1:26" ht="12" customHeight="1" x14ac:dyDescent="0.2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spans="1:26" ht="12" customHeight="1" x14ac:dyDescent="0.2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spans="1:26" ht="12" customHeight="1" x14ac:dyDescent="0.2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spans="1:26" ht="12" customHeight="1" x14ac:dyDescent="0.2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1:26" ht="12" customHeight="1" x14ac:dyDescent="0.2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spans="1:26" ht="12" customHeight="1" x14ac:dyDescent="0.2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1:26" ht="12" customHeight="1" x14ac:dyDescent="0.2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spans="1:26" ht="12" customHeight="1" x14ac:dyDescent="0.2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1:26" ht="12" customHeight="1" x14ac:dyDescent="0.2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spans="1:26" ht="12" customHeight="1" x14ac:dyDescent="0.2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spans="1:26" ht="12" customHeight="1" x14ac:dyDescent="0.2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spans="1:26" ht="12" customHeight="1" x14ac:dyDescent="0.2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1:26" ht="12" customHeight="1" x14ac:dyDescent="0.2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spans="1:26" ht="12" customHeight="1" x14ac:dyDescent="0.2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1:26" ht="12" customHeight="1" x14ac:dyDescent="0.2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spans="1:26" ht="12" customHeight="1" x14ac:dyDescent="0.2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1:26" ht="12" customHeight="1" x14ac:dyDescent="0.2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spans="1:26" ht="12" customHeight="1" x14ac:dyDescent="0.2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1:26" ht="12" customHeight="1" x14ac:dyDescent="0.2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spans="1:26" ht="12" customHeight="1" x14ac:dyDescent="0.2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1:26" ht="12" customHeight="1" x14ac:dyDescent="0.2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spans="1:26" ht="12" customHeight="1" x14ac:dyDescent="0.2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1:26" ht="12" customHeight="1" x14ac:dyDescent="0.2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spans="1:26" ht="12" customHeight="1" x14ac:dyDescent="0.2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1:26" ht="12" customHeight="1" x14ac:dyDescent="0.2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spans="1:26" ht="12" customHeight="1" x14ac:dyDescent="0.2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1:26" ht="12" customHeight="1" x14ac:dyDescent="0.2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spans="1:26" ht="12" customHeight="1" x14ac:dyDescent="0.2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1:26" ht="12" customHeight="1" x14ac:dyDescent="0.2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spans="1:26" ht="12" customHeight="1" x14ac:dyDescent="0.2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spans="1:26" ht="12" customHeight="1" x14ac:dyDescent="0.2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spans="1:26" ht="12" customHeight="1" x14ac:dyDescent="0.2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1:26" ht="12" customHeight="1" x14ac:dyDescent="0.2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spans="1:26" ht="12" customHeight="1" x14ac:dyDescent="0.2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1:26" ht="12" customHeight="1" x14ac:dyDescent="0.2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spans="1:26" ht="12" customHeight="1" x14ac:dyDescent="0.2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1:26" ht="12" customHeight="1" x14ac:dyDescent="0.2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spans="1:26" ht="12" customHeight="1" x14ac:dyDescent="0.2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1:26" ht="12" customHeight="1" x14ac:dyDescent="0.2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spans="1:26" ht="12" customHeight="1" x14ac:dyDescent="0.2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1:26" ht="12" customHeight="1" x14ac:dyDescent="0.2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spans="1:26" ht="12" customHeight="1" x14ac:dyDescent="0.2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1:26" ht="12" customHeight="1" x14ac:dyDescent="0.2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spans="1:26" ht="12" customHeight="1" x14ac:dyDescent="0.2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spans="1:26" ht="12" customHeight="1" x14ac:dyDescent="0.2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spans="1:26" ht="12" customHeight="1" x14ac:dyDescent="0.2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spans="1:26" ht="12" customHeight="1" x14ac:dyDescent="0.2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spans="1:26" ht="12" customHeight="1" x14ac:dyDescent="0.2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spans="1:26" ht="12" customHeight="1" x14ac:dyDescent="0.2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spans="1:26" ht="12" customHeight="1" x14ac:dyDescent="0.2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1:26" ht="12" customHeight="1" x14ac:dyDescent="0.2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spans="1:26" ht="12" customHeight="1" x14ac:dyDescent="0.2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1:26" ht="12" customHeight="1" x14ac:dyDescent="0.2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spans="1:26" ht="12" customHeight="1" x14ac:dyDescent="0.2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spans="1:26" ht="12" customHeight="1" x14ac:dyDescent="0.2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spans="1:26" ht="12" customHeight="1" x14ac:dyDescent="0.2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1:26" ht="12" customHeight="1" x14ac:dyDescent="0.2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spans="1:26" ht="12" customHeight="1" x14ac:dyDescent="0.2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1:26" ht="12" customHeight="1" x14ac:dyDescent="0.2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spans="1:26" ht="12" customHeight="1" x14ac:dyDescent="0.2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1:26" ht="12" customHeight="1" x14ac:dyDescent="0.2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spans="1:26" ht="12" customHeight="1" x14ac:dyDescent="0.2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1:26" ht="12" customHeight="1" x14ac:dyDescent="0.2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spans="1:26" ht="12" customHeight="1" x14ac:dyDescent="0.2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spans="1:26" ht="12" customHeight="1" x14ac:dyDescent="0.2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spans="1:26" ht="12" customHeight="1" x14ac:dyDescent="0.2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1:26" ht="12" customHeight="1" x14ac:dyDescent="0.2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spans="1:26" ht="12" customHeight="1" x14ac:dyDescent="0.2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1:26" ht="12" customHeight="1" x14ac:dyDescent="0.2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spans="1:26" ht="12" customHeight="1" x14ac:dyDescent="0.2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1:26" ht="12" customHeight="1" x14ac:dyDescent="0.2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spans="1:26" ht="12" customHeight="1" x14ac:dyDescent="0.2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1:26" ht="12" customHeight="1" x14ac:dyDescent="0.2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spans="1:26" ht="12" customHeight="1" x14ac:dyDescent="0.2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spans="1:26" ht="12" customHeight="1" x14ac:dyDescent="0.2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spans="1:26" ht="12" customHeight="1" x14ac:dyDescent="0.2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1:26" ht="12" customHeight="1" x14ac:dyDescent="0.2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spans="1:26" ht="12" customHeight="1" x14ac:dyDescent="0.2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1:26" ht="12" customHeight="1" x14ac:dyDescent="0.2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spans="1:26" ht="12" customHeight="1" x14ac:dyDescent="0.2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1:26" ht="12" customHeight="1" x14ac:dyDescent="0.2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spans="1:26" ht="12" customHeight="1" x14ac:dyDescent="0.2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1:26" ht="12" customHeight="1" x14ac:dyDescent="0.2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spans="1:26" ht="12" customHeight="1" x14ac:dyDescent="0.2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spans="1:26" ht="12" customHeight="1" x14ac:dyDescent="0.2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  <row r="411" spans="1:26" ht="12" customHeight="1" x14ac:dyDescent="0.2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spans="1:26" ht="12" customHeight="1" x14ac:dyDescent="0.2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</row>
    <row r="413" spans="1:26" ht="12" customHeight="1" x14ac:dyDescent="0.2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spans="1:26" ht="12" customHeight="1" x14ac:dyDescent="0.2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</row>
    <row r="415" spans="1:26" ht="12" customHeight="1" x14ac:dyDescent="0.2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</row>
    <row r="416" spans="1:26" ht="12" customHeight="1" x14ac:dyDescent="0.2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</row>
    <row r="417" spans="1:26" ht="12" customHeight="1" x14ac:dyDescent="0.2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</row>
    <row r="418" spans="1:26" ht="12" customHeight="1" x14ac:dyDescent="0.2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</row>
    <row r="419" spans="1:26" ht="12" customHeight="1" x14ac:dyDescent="0.2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</row>
    <row r="420" spans="1:26" ht="12" customHeight="1" x14ac:dyDescent="0.2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</row>
    <row r="421" spans="1:26" ht="12" customHeight="1" x14ac:dyDescent="0.2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spans="1:26" ht="12" customHeight="1" x14ac:dyDescent="0.2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</row>
    <row r="423" spans="1:26" ht="12" customHeight="1" x14ac:dyDescent="0.2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</row>
    <row r="424" spans="1:26" ht="12" customHeight="1" x14ac:dyDescent="0.2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</row>
    <row r="425" spans="1:26" ht="12" customHeight="1" x14ac:dyDescent="0.2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spans="1:26" ht="12" customHeight="1" x14ac:dyDescent="0.2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</row>
    <row r="427" spans="1:26" ht="12" customHeight="1" x14ac:dyDescent="0.2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spans="1:26" ht="12" customHeight="1" x14ac:dyDescent="0.2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</row>
    <row r="429" spans="1:26" ht="12" customHeight="1" x14ac:dyDescent="0.2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spans="1:26" ht="12" customHeight="1" x14ac:dyDescent="0.2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</row>
    <row r="431" spans="1:26" ht="12" customHeight="1" x14ac:dyDescent="0.2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spans="1:26" ht="12" customHeight="1" x14ac:dyDescent="0.2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</row>
    <row r="433" spans="1:26" ht="12" customHeight="1" x14ac:dyDescent="0.2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</row>
    <row r="434" spans="1:26" ht="12" customHeight="1" x14ac:dyDescent="0.2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</row>
    <row r="435" spans="1:26" ht="12" customHeight="1" x14ac:dyDescent="0.2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spans="1:26" ht="12" customHeight="1" x14ac:dyDescent="0.2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</row>
    <row r="437" spans="1:26" ht="12" customHeight="1" x14ac:dyDescent="0.2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spans="1:26" ht="12" customHeight="1" x14ac:dyDescent="0.2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</row>
    <row r="439" spans="1:26" ht="12" customHeight="1" x14ac:dyDescent="0.2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spans="1:26" ht="12" customHeight="1" x14ac:dyDescent="0.2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</row>
    <row r="441" spans="1:26" ht="12" customHeight="1" x14ac:dyDescent="0.2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spans="1:26" ht="12" customHeight="1" x14ac:dyDescent="0.2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</row>
    <row r="443" spans="1:26" ht="12" customHeight="1" x14ac:dyDescent="0.2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spans="1:26" ht="12" customHeight="1" x14ac:dyDescent="0.2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</row>
    <row r="445" spans="1:26" ht="12" customHeight="1" x14ac:dyDescent="0.2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spans="1:26" ht="12" customHeight="1" x14ac:dyDescent="0.2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</row>
    <row r="447" spans="1:26" ht="12" customHeight="1" x14ac:dyDescent="0.2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spans="1:26" ht="12" customHeight="1" x14ac:dyDescent="0.2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</row>
    <row r="449" spans="1:26" ht="12" customHeight="1" x14ac:dyDescent="0.2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spans="1:26" ht="12" customHeight="1" x14ac:dyDescent="0.2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</row>
    <row r="451" spans="1:26" ht="12" customHeight="1" x14ac:dyDescent="0.2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spans="1:26" ht="12" customHeight="1" x14ac:dyDescent="0.2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</row>
    <row r="453" spans="1:26" ht="12" customHeight="1" x14ac:dyDescent="0.2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spans="1:26" ht="12" customHeight="1" x14ac:dyDescent="0.2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</row>
    <row r="455" spans="1:26" ht="12" customHeight="1" x14ac:dyDescent="0.2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spans="1:26" ht="12" customHeight="1" x14ac:dyDescent="0.2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</row>
    <row r="457" spans="1:26" ht="12" customHeight="1" x14ac:dyDescent="0.2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spans="1:26" ht="12" customHeight="1" x14ac:dyDescent="0.2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</row>
    <row r="459" spans="1:26" ht="12" customHeight="1" x14ac:dyDescent="0.2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</row>
    <row r="460" spans="1:26" ht="12" customHeight="1" x14ac:dyDescent="0.2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</row>
    <row r="461" spans="1:26" ht="12" customHeight="1" x14ac:dyDescent="0.2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</row>
    <row r="462" spans="1:26" ht="12" customHeight="1" x14ac:dyDescent="0.2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</row>
    <row r="463" spans="1:26" ht="12" customHeight="1" x14ac:dyDescent="0.2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</row>
    <row r="464" spans="1:26" ht="12" customHeight="1" x14ac:dyDescent="0.2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</row>
    <row r="465" spans="1:26" ht="12" customHeight="1" x14ac:dyDescent="0.2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</row>
    <row r="466" spans="1:26" ht="12" customHeight="1" x14ac:dyDescent="0.2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</row>
    <row r="467" spans="1:26" ht="12" customHeight="1" x14ac:dyDescent="0.2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spans="1:26" ht="12" customHeight="1" x14ac:dyDescent="0.2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</row>
    <row r="469" spans="1:26" ht="12" customHeight="1" x14ac:dyDescent="0.2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spans="1:26" ht="12" customHeight="1" x14ac:dyDescent="0.2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</row>
    <row r="471" spans="1:26" ht="12" customHeight="1" x14ac:dyDescent="0.2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spans="1:26" ht="12" customHeight="1" x14ac:dyDescent="0.2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</row>
    <row r="473" spans="1:26" ht="12" customHeight="1" x14ac:dyDescent="0.2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spans="1:26" ht="12" customHeight="1" x14ac:dyDescent="0.2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</row>
    <row r="475" spans="1:26" ht="12" customHeight="1" x14ac:dyDescent="0.2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spans="1:26" ht="12" customHeight="1" x14ac:dyDescent="0.2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</row>
    <row r="477" spans="1:26" ht="12" customHeight="1" x14ac:dyDescent="0.2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spans="1:26" ht="12" customHeight="1" x14ac:dyDescent="0.2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</row>
    <row r="479" spans="1:26" ht="12" customHeight="1" x14ac:dyDescent="0.2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spans="1:26" ht="12" customHeight="1" x14ac:dyDescent="0.2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</row>
    <row r="481" spans="1:26" ht="12" customHeight="1" x14ac:dyDescent="0.2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spans="1:26" ht="12" customHeight="1" x14ac:dyDescent="0.2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</row>
    <row r="483" spans="1:26" ht="12" customHeight="1" x14ac:dyDescent="0.2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spans="1:26" ht="12" customHeight="1" x14ac:dyDescent="0.2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</row>
    <row r="485" spans="1:26" ht="12" customHeight="1" x14ac:dyDescent="0.2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spans="1:26" ht="12" customHeight="1" x14ac:dyDescent="0.2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</row>
    <row r="487" spans="1:26" ht="12" customHeight="1" x14ac:dyDescent="0.2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spans="1:26" ht="12" customHeight="1" x14ac:dyDescent="0.2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</row>
    <row r="489" spans="1:26" ht="12" customHeight="1" x14ac:dyDescent="0.2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spans="1:26" ht="12" customHeight="1" x14ac:dyDescent="0.2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</row>
    <row r="491" spans="1:26" ht="12" customHeight="1" x14ac:dyDescent="0.2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spans="1:26" ht="12" customHeight="1" x14ac:dyDescent="0.2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</row>
    <row r="493" spans="1:26" ht="12" customHeight="1" x14ac:dyDescent="0.2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spans="1:26" ht="12" customHeight="1" x14ac:dyDescent="0.2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</row>
    <row r="495" spans="1:26" ht="12" customHeight="1" x14ac:dyDescent="0.2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spans="1:26" ht="12" customHeight="1" x14ac:dyDescent="0.2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</row>
    <row r="497" spans="1:26" ht="12" customHeight="1" x14ac:dyDescent="0.2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spans="1:26" ht="12" customHeight="1" x14ac:dyDescent="0.2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</row>
    <row r="499" spans="1:26" ht="12" customHeight="1" x14ac:dyDescent="0.2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spans="1:26" ht="12" customHeight="1" x14ac:dyDescent="0.2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</row>
    <row r="501" spans="1:26" ht="12" customHeight="1" x14ac:dyDescent="0.2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spans="1:26" ht="12" customHeight="1" x14ac:dyDescent="0.2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</row>
    <row r="503" spans="1:26" ht="12" customHeight="1" x14ac:dyDescent="0.2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spans="1:26" ht="12" customHeight="1" x14ac:dyDescent="0.2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</row>
    <row r="505" spans="1:26" ht="12" customHeight="1" x14ac:dyDescent="0.2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spans="1:26" ht="12" customHeight="1" x14ac:dyDescent="0.2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</row>
    <row r="507" spans="1:26" ht="12" customHeight="1" x14ac:dyDescent="0.2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</row>
    <row r="508" spans="1:26" ht="12" customHeight="1" x14ac:dyDescent="0.2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</row>
    <row r="509" spans="1:26" ht="12" customHeight="1" x14ac:dyDescent="0.2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</row>
    <row r="510" spans="1:26" ht="12" customHeight="1" x14ac:dyDescent="0.2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</row>
    <row r="511" spans="1:26" ht="12" customHeight="1" x14ac:dyDescent="0.2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</row>
    <row r="512" spans="1:26" ht="12" customHeight="1" x14ac:dyDescent="0.2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</row>
    <row r="513" spans="1:26" ht="12" customHeight="1" x14ac:dyDescent="0.2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spans="1:26" ht="12" customHeight="1" x14ac:dyDescent="0.2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</row>
    <row r="515" spans="1:26" ht="12" customHeight="1" x14ac:dyDescent="0.2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spans="1:26" ht="12" customHeight="1" x14ac:dyDescent="0.2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</row>
    <row r="517" spans="1:26" ht="12" customHeight="1" x14ac:dyDescent="0.2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spans="1:26" ht="12" customHeight="1" x14ac:dyDescent="0.2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</row>
    <row r="519" spans="1:26" ht="12" customHeight="1" x14ac:dyDescent="0.2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spans="1:26" ht="12" customHeight="1" x14ac:dyDescent="0.2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</row>
    <row r="521" spans="1:26" ht="12" customHeight="1" x14ac:dyDescent="0.2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spans="1:26" ht="12" customHeight="1" x14ac:dyDescent="0.2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</row>
    <row r="523" spans="1:26" ht="12" customHeight="1" x14ac:dyDescent="0.2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spans="1:26" ht="12" customHeight="1" x14ac:dyDescent="0.2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</row>
    <row r="525" spans="1:26" ht="12" customHeight="1" x14ac:dyDescent="0.2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spans="1:26" ht="12" customHeight="1" x14ac:dyDescent="0.2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</row>
    <row r="527" spans="1:26" ht="12" customHeight="1" x14ac:dyDescent="0.2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spans="1:26" ht="12" customHeight="1" x14ac:dyDescent="0.2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</row>
    <row r="529" spans="1:26" ht="12" customHeight="1" x14ac:dyDescent="0.2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spans="1:26" ht="12" customHeight="1" x14ac:dyDescent="0.2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</row>
    <row r="531" spans="1:26" ht="12" customHeight="1" x14ac:dyDescent="0.2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spans="1:26" ht="12" customHeight="1" x14ac:dyDescent="0.2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</row>
    <row r="533" spans="1:26" ht="12" customHeight="1" x14ac:dyDescent="0.2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spans="1:26" ht="12" customHeight="1" x14ac:dyDescent="0.2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</row>
    <row r="535" spans="1:26" ht="12" customHeight="1" x14ac:dyDescent="0.2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spans="1:26" ht="12" customHeight="1" x14ac:dyDescent="0.2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</row>
    <row r="537" spans="1:26" ht="12" customHeight="1" x14ac:dyDescent="0.2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spans="1:26" ht="12" customHeight="1" x14ac:dyDescent="0.2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</row>
    <row r="539" spans="1:26" ht="12" customHeight="1" x14ac:dyDescent="0.2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spans="1:26" ht="12" customHeight="1" x14ac:dyDescent="0.2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</row>
    <row r="541" spans="1:26" ht="12" customHeight="1" x14ac:dyDescent="0.2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spans="1:26" ht="12" customHeight="1" x14ac:dyDescent="0.2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</row>
    <row r="543" spans="1:26" ht="12" customHeight="1" x14ac:dyDescent="0.2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spans="1:26" ht="12" customHeight="1" x14ac:dyDescent="0.2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</row>
    <row r="545" spans="1:26" ht="12" customHeight="1" x14ac:dyDescent="0.2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spans="1:26" ht="12" customHeight="1" x14ac:dyDescent="0.2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</row>
    <row r="547" spans="1:26" ht="12" customHeight="1" x14ac:dyDescent="0.2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spans="1:26" ht="12" customHeight="1" x14ac:dyDescent="0.2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</row>
    <row r="549" spans="1:26" ht="12" customHeight="1" x14ac:dyDescent="0.2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spans="1:26" ht="12" customHeight="1" x14ac:dyDescent="0.2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</row>
    <row r="551" spans="1:26" ht="12" customHeight="1" x14ac:dyDescent="0.2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spans="1:26" ht="12" customHeight="1" x14ac:dyDescent="0.2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</row>
    <row r="553" spans="1:26" ht="12" customHeight="1" x14ac:dyDescent="0.2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</row>
    <row r="554" spans="1:26" ht="12" customHeight="1" x14ac:dyDescent="0.2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</row>
    <row r="555" spans="1:26" ht="12" customHeight="1" x14ac:dyDescent="0.2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</row>
    <row r="556" spans="1:26" ht="12" customHeight="1" x14ac:dyDescent="0.2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</row>
    <row r="557" spans="1:26" ht="12" customHeight="1" x14ac:dyDescent="0.2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</row>
    <row r="558" spans="1:26" ht="12" customHeight="1" x14ac:dyDescent="0.2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</row>
    <row r="559" spans="1:26" ht="12" customHeight="1" x14ac:dyDescent="0.2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spans="1:26" ht="12" customHeight="1" x14ac:dyDescent="0.2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</row>
    <row r="561" spans="1:26" ht="12" customHeight="1" x14ac:dyDescent="0.2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spans="1:26" ht="12" customHeight="1" x14ac:dyDescent="0.2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</row>
    <row r="563" spans="1:26" ht="12" customHeight="1" x14ac:dyDescent="0.2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spans="1:26" ht="12" customHeight="1" x14ac:dyDescent="0.2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</row>
    <row r="565" spans="1:26" ht="12" customHeight="1" x14ac:dyDescent="0.2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spans="1:26" ht="12" customHeight="1" x14ac:dyDescent="0.2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</row>
    <row r="567" spans="1:26" ht="12" customHeight="1" x14ac:dyDescent="0.2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spans="1:26" ht="12" customHeight="1" x14ac:dyDescent="0.2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</row>
    <row r="569" spans="1:26" ht="12" customHeight="1" x14ac:dyDescent="0.2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spans="1:26" ht="12" customHeight="1" x14ac:dyDescent="0.2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</row>
    <row r="571" spans="1:26" ht="12" customHeight="1" x14ac:dyDescent="0.2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spans="1:26" ht="12" customHeight="1" x14ac:dyDescent="0.2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</row>
    <row r="573" spans="1:26" ht="12" customHeight="1" x14ac:dyDescent="0.2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spans="1:26" ht="12" customHeight="1" x14ac:dyDescent="0.2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</row>
    <row r="575" spans="1:26" ht="12" customHeight="1" x14ac:dyDescent="0.2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spans="1:26" ht="12" customHeight="1" x14ac:dyDescent="0.2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</row>
    <row r="577" spans="1:26" ht="12" customHeight="1" x14ac:dyDescent="0.2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spans="1:26" ht="12" customHeight="1" x14ac:dyDescent="0.2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</row>
    <row r="579" spans="1:26" ht="12" customHeight="1" x14ac:dyDescent="0.2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spans="1:26" ht="12" customHeight="1" x14ac:dyDescent="0.2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</row>
    <row r="581" spans="1:26" ht="12" customHeight="1" x14ac:dyDescent="0.2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spans="1:26" ht="12" customHeight="1" x14ac:dyDescent="0.2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</row>
    <row r="583" spans="1:26" ht="12" customHeight="1" x14ac:dyDescent="0.2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spans="1:26" ht="12" customHeight="1" x14ac:dyDescent="0.2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</row>
    <row r="585" spans="1:26" ht="12" customHeight="1" x14ac:dyDescent="0.2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spans="1:26" ht="12" customHeight="1" x14ac:dyDescent="0.2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</row>
    <row r="587" spans="1:26" ht="12" customHeight="1" x14ac:dyDescent="0.2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spans="1:26" ht="12" customHeight="1" x14ac:dyDescent="0.2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</row>
    <row r="589" spans="1:26" ht="12" customHeight="1" x14ac:dyDescent="0.2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spans="1:26" ht="12" customHeight="1" x14ac:dyDescent="0.2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</row>
    <row r="591" spans="1:26" ht="12" customHeight="1" x14ac:dyDescent="0.2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spans="1:26" ht="12" customHeight="1" x14ac:dyDescent="0.2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</row>
    <row r="593" spans="1:26" ht="12" customHeight="1" x14ac:dyDescent="0.2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spans="1:26" ht="12" customHeight="1" x14ac:dyDescent="0.2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</row>
    <row r="595" spans="1:26" ht="12" customHeight="1" x14ac:dyDescent="0.2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spans="1:26" ht="12" customHeight="1" x14ac:dyDescent="0.2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</row>
    <row r="597" spans="1:26" ht="12" customHeight="1" x14ac:dyDescent="0.2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spans="1:26" ht="12" customHeight="1" x14ac:dyDescent="0.2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</row>
    <row r="599" spans="1:26" ht="12" customHeight="1" x14ac:dyDescent="0.2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</row>
    <row r="600" spans="1:26" ht="12" customHeight="1" x14ac:dyDescent="0.2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</row>
    <row r="601" spans="1:26" ht="12" customHeight="1" x14ac:dyDescent="0.2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</row>
    <row r="602" spans="1:26" ht="12" customHeight="1" x14ac:dyDescent="0.2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</row>
    <row r="603" spans="1:26" ht="12" customHeight="1" x14ac:dyDescent="0.2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</row>
    <row r="604" spans="1:26" ht="12" customHeight="1" x14ac:dyDescent="0.2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</row>
    <row r="605" spans="1:26" ht="12" customHeight="1" x14ac:dyDescent="0.2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spans="1:26" ht="12" customHeight="1" x14ac:dyDescent="0.2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</row>
    <row r="607" spans="1:26" ht="12" customHeight="1" x14ac:dyDescent="0.2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spans="1:26" ht="12" customHeight="1" x14ac:dyDescent="0.2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</row>
    <row r="609" spans="1:26" ht="12" customHeight="1" x14ac:dyDescent="0.2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spans="1:26" ht="12" customHeight="1" x14ac:dyDescent="0.2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</row>
    <row r="611" spans="1:26" ht="12" customHeight="1" x14ac:dyDescent="0.2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spans="1:26" ht="12" customHeight="1" x14ac:dyDescent="0.2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</row>
    <row r="613" spans="1:26" ht="12" customHeight="1" x14ac:dyDescent="0.2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spans="1:26" ht="12" customHeight="1" x14ac:dyDescent="0.2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</row>
    <row r="615" spans="1:26" ht="12" customHeight="1" x14ac:dyDescent="0.2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spans="1:26" ht="12" customHeight="1" x14ac:dyDescent="0.2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</row>
    <row r="617" spans="1:26" ht="12" customHeight="1" x14ac:dyDescent="0.2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spans="1:26" ht="12" customHeight="1" x14ac:dyDescent="0.2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</row>
    <row r="619" spans="1:26" ht="12" customHeight="1" x14ac:dyDescent="0.2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spans="1:26" ht="12" customHeight="1" x14ac:dyDescent="0.2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</row>
    <row r="621" spans="1:26" ht="12" customHeight="1" x14ac:dyDescent="0.2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spans="1:26" ht="12" customHeight="1" x14ac:dyDescent="0.2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</row>
    <row r="623" spans="1:26" ht="12" customHeight="1" x14ac:dyDescent="0.2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spans="1:26" ht="12" customHeight="1" x14ac:dyDescent="0.2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</row>
    <row r="625" spans="1:26" ht="12" customHeight="1" x14ac:dyDescent="0.2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spans="1:26" ht="12" customHeight="1" x14ac:dyDescent="0.2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</row>
    <row r="627" spans="1:26" ht="12" customHeight="1" x14ac:dyDescent="0.2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spans="1:26" ht="12" customHeight="1" x14ac:dyDescent="0.2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</row>
    <row r="629" spans="1:26" ht="12" customHeight="1" x14ac:dyDescent="0.2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spans="1:26" ht="12" customHeight="1" x14ac:dyDescent="0.2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</row>
    <row r="631" spans="1:26" ht="12" customHeight="1" x14ac:dyDescent="0.2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spans="1:26" ht="12" customHeight="1" x14ac:dyDescent="0.2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</row>
    <row r="633" spans="1:26" ht="12" customHeight="1" x14ac:dyDescent="0.2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spans="1:26" ht="12" customHeight="1" x14ac:dyDescent="0.2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</row>
    <row r="635" spans="1:26" ht="12" customHeight="1" x14ac:dyDescent="0.2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spans="1:26" ht="12" customHeight="1" x14ac:dyDescent="0.2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</row>
    <row r="637" spans="1:26" ht="12" customHeight="1" x14ac:dyDescent="0.2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spans="1:26" ht="12" customHeight="1" x14ac:dyDescent="0.2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</row>
    <row r="639" spans="1:26" ht="12" customHeight="1" x14ac:dyDescent="0.2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spans="1:26" ht="12" customHeight="1" x14ac:dyDescent="0.2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</row>
    <row r="641" spans="1:26" ht="12" customHeight="1" x14ac:dyDescent="0.2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spans="1:26" ht="12" customHeight="1" x14ac:dyDescent="0.2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</row>
    <row r="643" spans="1:26" ht="12" customHeight="1" x14ac:dyDescent="0.2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spans="1:26" ht="12" customHeight="1" x14ac:dyDescent="0.2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</row>
    <row r="645" spans="1:26" ht="12" customHeight="1" x14ac:dyDescent="0.2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</row>
    <row r="646" spans="1:26" ht="12" customHeight="1" x14ac:dyDescent="0.2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</row>
    <row r="647" spans="1:26" ht="12" customHeight="1" x14ac:dyDescent="0.2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</row>
    <row r="648" spans="1:26" ht="12" customHeight="1" x14ac:dyDescent="0.2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</row>
    <row r="649" spans="1:26" ht="12" customHeight="1" x14ac:dyDescent="0.2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</row>
    <row r="650" spans="1:26" ht="12" customHeight="1" x14ac:dyDescent="0.2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</row>
    <row r="651" spans="1:26" ht="12" customHeight="1" x14ac:dyDescent="0.2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spans="1:26" ht="12" customHeight="1" x14ac:dyDescent="0.2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</row>
    <row r="653" spans="1:26" ht="12" customHeight="1" x14ac:dyDescent="0.2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spans="1:26" ht="12" customHeight="1" x14ac:dyDescent="0.2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</row>
    <row r="655" spans="1:26" ht="12" customHeight="1" x14ac:dyDescent="0.2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spans="1:26" ht="12" customHeight="1" x14ac:dyDescent="0.2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</row>
    <row r="657" spans="1:26" ht="12" customHeight="1" x14ac:dyDescent="0.2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spans="1:26" ht="12" customHeight="1" x14ac:dyDescent="0.2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</row>
    <row r="659" spans="1:26" ht="12" customHeight="1" x14ac:dyDescent="0.2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spans="1:26" ht="12" customHeight="1" x14ac:dyDescent="0.2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</row>
    <row r="661" spans="1:26" ht="12" customHeight="1" x14ac:dyDescent="0.2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spans="1:26" ht="12" customHeight="1" x14ac:dyDescent="0.2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</row>
    <row r="663" spans="1:26" ht="12" customHeight="1" x14ac:dyDescent="0.2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spans="1:26" ht="12" customHeight="1" x14ac:dyDescent="0.2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</row>
    <row r="665" spans="1:26" ht="12" customHeight="1" x14ac:dyDescent="0.2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spans="1:26" ht="12" customHeight="1" x14ac:dyDescent="0.2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</row>
    <row r="667" spans="1:26" ht="12" customHeight="1" x14ac:dyDescent="0.2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spans="1:26" ht="12" customHeight="1" x14ac:dyDescent="0.2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</row>
    <row r="669" spans="1:26" ht="12" customHeight="1" x14ac:dyDescent="0.2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spans="1:26" ht="12" customHeight="1" x14ac:dyDescent="0.2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</row>
    <row r="671" spans="1:26" ht="12" customHeight="1" x14ac:dyDescent="0.2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spans="1:26" ht="12" customHeight="1" x14ac:dyDescent="0.2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</row>
    <row r="673" spans="1:26" ht="12" customHeight="1" x14ac:dyDescent="0.2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spans="1:26" ht="12" customHeight="1" x14ac:dyDescent="0.2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</row>
    <row r="675" spans="1:26" ht="12" customHeight="1" x14ac:dyDescent="0.2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spans="1:26" ht="12" customHeight="1" x14ac:dyDescent="0.2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</row>
    <row r="677" spans="1:26" ht="12" customHeight="1" x14ac:dyDescent="0.2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spans="1:26" ht="12" customHeight="1" x14ac:dyDescent="0.2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</row>
    <row r="679" spans="1:26" ht="12" customHeight="1" x14ac:dyDescent="0.2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spans="1:26" ht="12" customHeight="1" x14ac:dyDescent="0.2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</row>
    <row r="681" spans="1:26" ht="12" customHeight="1" x14ac:dyDescent="0.2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spans="1:26" ht="12" customHeight="1" x14ac:dyDescent="0.2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</row>
    <row r="683" spans="1:26" ht="12" customHeight="1" x14ac:dyDescent="0.2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spans="1:26" ht="12" customHeight="1" x14ac:dyDescent="0.2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</row>
    <row r="685" spans="1:26" ht="12" customHeight="1" x14ac:dyDescent="0.2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spans="1:26" ht="12" customHeight="1" x14ac:dyDescent="0.2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</row>
    <row r="687" spans="1:26" ht="12" customHeight="1" x14ac:dyDescent="0.2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spans="1:26" ht="12" customHeight="1" x14ac:dyDescent="0.2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</row>
    <row r="689" spans="1:26" ht="12" customHeight="1" x14ac:dyDescent="0.2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spans="1:26" ht="12" customHeight="1" x14ac:dyDescent="0.2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</row>
    <row r="691" spans="1:26" ht="12" customHeight="1" x14ac:dyDescent="0.2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</row>
    <row r="692" spans="1:26" ht="12" customHeight="1" x14ac:dyDescent="0.2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</row>
    <row r="693" spans="1:26" ht="12" customHeight="1" x14ac:dyDescent="0.2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</row>
    <row r="694" spans="1:26" ht="12" customHeight="1" x14ac:dyDescent="0.2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</row>
    <row r="695" spans="1:26" ht="12" customHeight="1" x14ac:dyDescent="0.2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</row>
    <row r="696" spans="1:26" ht="12" customHeight="1" x14ac:dyDescent="0.2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</row>
    <row r="697" spans="1:26" ht="12" customHeight="1" x14ac:dyDescent="0.2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spans="1:26" ht="12" customHeight="1" x14ac:dyDescent="0.2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</row>
    <row r="699" spans="1:26" ht="12" customHeight="1" x14ac:dyDescent="0.2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spans="1:26" ht="12" customHeight="1" x14ac:dyDescent="0.2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</row>
    <row r="701" spans="1:26" ht="12" customHeight="1" x14ac:dyDescent="0.2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spans="1:26" ht="12" customHeight="1" x14ac:dyDescent="0.2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</row>
    <row r="703" spans="1:26" ht="12" customHeight="1" x14ac:dyDescent="0.2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spans="1:26" ht="12" customHeight="1" x14ac:dyDescent="0.2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</row>
    <row r="705" spans="1:26" ht="12" customHeight="1" x14ac:dyDescent="0.2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spans="1:26" ht="12" customHeight="1" x14ac:dyDescent="0.2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</row>
    <row r="707" spans="1:26" ht="12" customHeight="1" x14ac:dyDescent="0.2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spans="1:26" ht="12" customHeight="1" x14ac:dyDescent="0.2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</row>
    <row r="709" spans="1:26" ht="12" customHeight="1" x14ac:dyDescent="0.2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spans="1:26" ht="12" customHeight="1" x14ac:dyDescent="0.2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</row>
    <row r="711" spans="1:26" ht="12" customHeight="1" x14ac:dyDescent="0.2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spans="1:26" ht="12" customHeight="1" x14ac:dyDescent="0.2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</row>
    <row r="713" spans="1:26" ht="12" customHeight="1" x14ac:dyDescent="0.2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spans="1:26" ht="12" customHeight="1" x14ac:dyDescent="0.2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</row>
    <row r="715" spans="1:26" ht="12" customHeight="1" x14ac:dyDescent="0.2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spans="1:26" ht="12" customHeight="1" x14ac:dyDescent="0.2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</row>
    <row r="717" spans="1:26" ht="12" customHeight="1" x14ac:dyDescent="0.2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spans="1:26" ht="12" customHeight="1" x14ac:dyDescent="0.2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</row>
    <row r="719" spans="1:26" ht="12" customHeight="1" x14ac:dyDescent="0.2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spans="1:26" ht="12" customHeight="1" x14ac:dyDescent="0.2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</row>
    <row r="721" spans="1:26" ht="12" customHeight="1" x14ac:dyDescent="0.2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spans="1:26" ht="12" customHeight="1" x14ac:dyDescent="0.2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</row>
    <row r="723" spans="1:26" ht="12" customHeight="1" x14ac:dyDescent="0.2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spans="1:26" ht="12" customHeight="1" x14ac:dyDescent="0.2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</row>
    <row r="725" spans="1:26" ht="12" customHeight="1" x14ac:dyDescent="0.2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spans="1:26" ht="12" customHeight="1" x14ac:dyDescent="0.2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</row>
    <row r="727" spans="1:26" ht="12" customHeight="1" x14ac:dyDescent="0.2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spans="1:26" ht="12" customHeight="1" x14ac:dyDescent="0.2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</row>
    <row r="729" spans="1:26" ht="12" customHeight="1" x14ac:dyDescent="0.2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spans="1:26" ht="12" customHeight="1" x14ac:dyDescent="0.2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</row>
    <row r="731" spans="1:26" ht="12" customHeight="1" x14ac:dyDescent="0.2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spans="1:26" ht="12" customHeight="1" x14ac:dyDescent="0.2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</row>
    <row r="733" spans="1:26" ht="12" customHeight="1" x14ac:dyDescent="0.2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spans="1:26" ht="12" customHeight="1" x14ac:dyDescent="0.2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</row>
    <row r="735" spans="1:26" ht="12" customHeight="1" x14ac:dyDescent="0.2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spans="1:26" ht="12" customHeight="1" x14ac:dyDescent="0.2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</row>
    <row r="737" spans="1:26" ht="12" customHeight="1" x14ac:dyDescent="0.2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</row>
    <row r="738" spans="1:26" ht="12" customHeight="1" x14ac:dyDescent="0.2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</row>
    <row r="739" spans="1:26" ht="12" customHeight="1" x14ac:dyDescent="0.2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</row>
    <row r="740" spans="1:26" ht="12" customHeight="1" x14ac:dyDescent="0.2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</row>
    <row r="741" spans="1:26" ht="12" customHeight="1" x14ac:dyDescent="0.2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</row>
    <row r="742" spans="1:26" ht="12" customHeight="1" x14ac:dyDescent="0.2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</row>
    <row r="743" spans="1:26" ht="12" customHeight="1" x14ac:dyDescent="0.2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spans="1:26" ht="12" customHeight="1" x14ac:dyDescent="0.2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</row>
    <row r="745" spans="1:26" ht="12" customHeight="1" x14ac:dyDescent="0.2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spans="1:26" ht="12" customHeight="1" x14ac:dyDescent="0.2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</row>
    <row r="747" spans="1:26" ht="12" customHeight="1" x14ac:dyDescent="0.2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spans="1:26" ht="12" customHeight="1" x14ac:dyDescent="0.2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</row>
    <row r="749" spans="1:26" ht="12" customHeight="1" x14ac:dyDescent="0.2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spans="1:26" ht="12" customHeight="1" x14ac:dyDescent="0.2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</row>
    <row r="751" spans="1:26" ht="12" customHeight="1" x14ac:dyDescent="0.2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spans="1:26" ht="12" customHeight="1" x14ac:dyDescent="0.2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</row>
    <row r="753" spans="1:26" ht="12" customHeight="1" x14ac:dyDescent="0.2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spans="1:26" ht="12" customHeight="1" x14ac:dyDescent="0.2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</row>
    <row r="755" spans="1:26" ht="12" customHeight="1" x14ac:dyDescent="0.2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spans="1:26" ht="12" customHeight="1" x14ac:dyDescent="0.2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</row>
    <row r="757" spans="1:26" ht="12" customHeight="1" x14ac:dyDescent="0.2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spans="1:26" ht="12" customHeight="1" x14ac:dyDescent="0.2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</row>
    <row r="759" spans="1:26" ht="12" customHeight="1" x14ac:dyDescent="0.2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spans="1:26" ht="12" customHeight="1" x14ac:dyDescent="0.2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</row>
    <row r="761" spans="1:26" ht="12" customHeight="1" x14ac:dyDescent="0.2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spans="1:26" ht="12" customHeight="1" x14ac:dyDescent="0.2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</row>
    <row r="763" spans="1:26" ht="12" customHeight="1" x14ac:dyDescent="0.2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spans="1:26" ht="12" customHeight="1" x14ac:dyDescent="0.2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</row>
    <row r="765" spans="1:26" ht="12" customHeight="1" x14ac:dyDescent="0.2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spans="1:26" ht="12" customHeight="1" x14ac:dyDescent="0.2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</row>
    <row r="767" spans="1:26" ht="12" customHeight="1" x14ac:dyDescent="0.2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spans="1:26" ht="12" customHeight="1" x14ac:dyDescent="0.2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</row>
    <row r="769" spans="1:26" ht="12" customHeight="1" x14ac:dyDescent="0.2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spans="1:26" ht="12" customHeight="1" x14ac:dyDescent="0.2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</row>
    <row r="771" spans="1:26" ht="12" customHeight="1" x14ac:dyDescent="0.2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spans="1:26" ht="12" customHeight="1" x14ac:dyDescent="0.2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</row>
    <row r="773" spans="1:26" ht="12" customHeight="1" x14ac:dyDescent="0.2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spans="1:26" ht="12" customHeight="1" x14ac:dyDescent="0.2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</row>
    <row r="775" spans="1:26" ht="12" customHeight="1" x14ac:dyDescent="0.2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spans="1:26" ht="12" customHeight="1" x14ac:dyDescent="0.2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</row>
    <row r="777" spans="1:26" ht="12" customHeight="1" x14ac:dyDescent="0.2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spans="1:26" ht="12" customHeight="1" x14ac:dyDescent="0.2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</row>
    <row r="779" spans="1:26" ht="12" customHeight="1" x14ac:dyDescent="0.2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spans="1:26" ht="12" customHeight="1" x14ac:dyDescent="0.2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</row>
    <row r="781" spans="1:26" ht="12" customHeight="1" x14ac:dyDescent="0.2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spans="1:26" ht="12" customHeight="1" x14ac:dyDescent="0.2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</row>
    <row r="783" spans="1:26" ht="12" customHeight="1" x14ac:dyDescent="0.2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</row>
    <row r="784" spans="1:26" ht="12" customHeight="1" x14ac:dyDescent="0.2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</row>
    <row r="785" spans="1:26" ht="12" customHeight="1" x14ac:dyDescent="0.2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</row>
    <row r="786" spans="1:26" ht="12" customHeight="1" x14ac:dyDescent="0.2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</row>
    <row r="787" spans="1:26" ht="12" customHeight="1" x14ac:dyDescent="0.2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</row>
    <row r="788" spans="1:26" ht="12" customHeight="1" x14ac:dyDescent="0.2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</row>
    <row r="789" spans="1:26" ht="12" customHeight="1" x14ac:dyDescent="0.2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spans="1:26" ht="12" customHeight="1" x14ac:dyDescent="0.2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</row>
    <row r="791" spans="1:26" ht="12" customHeight="1" x14ac:dyDescent="0.2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spans="1:26" ht="12" customHeight="1" x14ac:dyDescent="0.2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</row>
    <row r="793" spans="1:26" ht="12" customHeight="1" x14ac:dyDescent="0.2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spans="1:26" ht="12" customHeight="1" x14ac:dyDescent="0.2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</row>
    <row r="795" spans="1:26" ht="12" customHeight="1" x14ac:dyDescent="0.2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spans="1:26" ht="12" customHeight="1" x14ac:dyDescent="0.2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</row>
    <row r="797" spans="1:26" ht="12" customHeight="1" x14ac:dyDescent="0.2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spans="1:26" ht="12" customHeight="1" x14ac:dyDescent="0.2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</row>
    <row r="799" spans="1:26" ht="12" customHeight="1" x14ac:dyDescent="0.2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spans="1:26" ht="12" customHeight="1" x14ac:dyDescent="0.2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</row>
    <row r="801" spans="1:26" ht="12" customHeight="1" x14ac:dyDescent="0.2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spans="1:26" ht="12" customHeight="1" x14ac:dyDescent="0.2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</row>
    <row r="803" spans="1:26" ht="12" customHeight="1" x14ac:dyDescent="0.2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spans="1:26" ht="12" customHeight="1" x14ac:dyDescent="0.2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</row>
    <row r="805" spans="1:26" ht="12" customHeight="1" x14ac:dyDescent="0.2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spans="1:26" ht="12" customHeight="1" x14ac:dyDescent="0.2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</row>
    <row r="807" spans="1:26" ht="12" customHeight="1" x14ac:dyDescent="0.2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spans="1:26" ht="12" customHeight="1" x14ac:dyDescent="0.2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</row>
    <row r="809" spans="1:26" ht="12" customHeight="1" x14ac:dyDescent="0.2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spans="1:26" ht="12" customHeight="1" x14ac:dyDescent="0.2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</row>
    <row r="811" spans="1:26" ht="12" customHeight="1" x14ac:dyDescent="0.2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spans="1:26" ht="12" customHeight="1" x14ac:dyDescent="0.2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</row>
    <row r="813" spans="1:26" ht="12" customHeight="1" x14ac:dyDescent="0.2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spans="1:26" ht="12" customHeight="1" x14ac:dyDescent="0.2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</row>
    <row r="815" spans="1:26" ht="12" customHeight="1" x14ac:dyDescent="0.2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spans="1:26" ht="12" customHeight="1" x14ac:dyDescent="0.2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</row>
    <row r="817" spans="1:26" ht="12" customHeight="1" x14ac:dyDescent="0.2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spans="1:26" ht="12" customHeight="1" x14ac:dyDescent="0.2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</row>
    <row r="819" spans="1:26" ht="12" customHeight="1" x14ac:dyDescent="0.2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spans="1:26" ht="12" customHeight="1" x14ac:dyDescent="0.2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</row>
    <row r="821" spans="1:26" ht="12" customHeight="1" x14ac:dyDescent="0.2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spans="1:26" ht="12" customHeight="1" x14ac:dyDescent="0.2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</row>
    <row r="823" spans="1:26" ht="12" customHeight="1" x14ac:dyDescent="0.2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spans="1:26" ht="12" customHeight="1" x14ac:dyDescent="0.2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</row>
    <row r="825" spans="1:26" ht="12" customHeight="1" x14ac:dyDescent="0.2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spans="1:26" ht="12" customHeight="1" x14ac:dyDescent="0.2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</row>
    <row r="827" spans="1:26" ht="12" customHeight="1" x14ac:dyDescent="0.2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spans="1:26" ht="12" customHeight="1" x14ac:dyDescent="0.2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</row>
    <row r="829" spans="1:26" ht="12" customHeight="1" x14ac:dyDescent="0.2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</row>
    <row r="830" spans="1:26" ht="12" customHeight="1" x14ac:dyDescent="0.2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</row>
    <row r="831" spans="1:26" ht="12" customHeight="1" x14ac:dyDescent="0.2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</row>
    <row r="832" spans="1:26" ht="12" customHeight="1" x14ac:dyDescent="0.2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</row>
    <row r="833" spans="1:26" ht="12" customHeight="1" x14ac:dyDescent="0.2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</row>
    <row r="834" spans="1:26" ht="12" customHeight="1" x14ac:dyDescent="0.2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</row>
    <row r="835" spans="1:26" ht="12" customHeight="1" x14ac:dyDescent="0.2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spans="1:26" ht="12" customHeight="1" x14ac:dyDescent="0.2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</row>
    <row r="837" spans="1:26" ht="12" customHeight="1" x14ac:dyDescent="0.2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spans="1:26" ht="12" customHeight="1" x14ac:dyDescent="0.2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</row>
    <row r="839" spans="1:26" ht="12" customHeight="1" x14ac:dyDescent="0.2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spans="1:26" ht="12" customHeight="1" x14ac:dyDescent="0.2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</row>
    <row r="841" spans="1:26" ht="12" customHeight="1" x14ac:dyDescent="0.2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spans="1:26" ht="12" customHeight="1" x14ac:dyDescent="0.2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</row>
    <row r="843" spans="1:26" ht="12" customHeight="1" x14ac:dyDescent="0.2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spans="1:26" ht="12" customHeight="1" x14ac:dyDescent="0.2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</row>
    <row r="845" spans="1:26" ht="12" customHeight="1" x14ac:dyDescent="0.2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spans="1:26" ht="12" customHeight="1" x14ac:dyDescent="0.2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</row>
    <row r="847" spans="1:26" ht="12" customHeight="1" x14ac:dyDescent="0.2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spans="1:26" ht="12" customHeight="1" x14ac:dyDescent="0.2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</row>
    <row r="849" spans="1:26" ht="12" customHeight="1" x14ac:dyDescent="0.2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spans="1:26" ht="12" customHeight="1" x14ac:dyDescent="0.2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</row>
    <row r="851" spans="1:26" ht="12" customHeight="1" x14ac:dyDescent="0.2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26" ht="12" customHeight="1" x14ac:dyDescent="0.2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</row>
    <row r="853" spans="1:26" ht="12" customHeight="1" x14ac:dyDescent="0.2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spans="1:26" ht="12" customHeight="1" x14ac:dyDescent="0.2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</row>
    <row r="855" spans="1:26" ht="12" customHeight="1" x14ac:dyDescent="0.2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spans="1:26" ht="12" customHeight="1" x14ac:dyDescent="0.2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</row>
    <row r="857" spans="1:26" ht="12" customHeight="1" x14ac:dyDescent="0.2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spans="1:26" ht="12" customHeight="1" x14ac:dyDescent="0.2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</row>
    <row r="859" spans="1:26" ht="12" customHeight="1" x14ac:dyDescent="0.2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spans="1:26" ht="12" customHeight="1" x14ac:dyDescent="0.2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</row>
    <row r="861" spans="1:26" ht="12" customHeight="1" x14ac:dyDescent="0.2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spans="1:26" ht="12" customHeight="1" x14ac:dyDescent="0.2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</row>
    <row r="863" spans="1:26" ht="12" customHeight="1" x14ac:dyDescent="0.2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spans="1:26" ht="12" customHeight="1" x14ac:dyDescent="0.2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spans="1:26" ht="12" customHeight="1" x14ac:dyDescent="0.2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spans="1:26" ht="12" customHeight="1" x14ac:dyDescent="0.2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</row>
    <row r="867" spans="1:26" ht="12" customHeight="1" x14ac:dyDescent="0.2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spans="1:26" ht="12" customHeight="1" x14ac:dyDescent="0.2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</row>
    <row r="869" spans="1:26" ht="12" customHeight="1" x14ac:dyDescent="0.2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spans="1:26" ht="12" customHeight="1" x14ac:dyDescent="0.2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</row>
    <row r="871" spans="1:26" ht="12" customHeight="1" x14ac:dyDescent="0.2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spans="1:26" ht="12" customHeight="1" x14ac:dyDescent="0.2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</row>
    <row r="873" spans="1:26" ht="12" customHeight="1" x14ac:dyDescent="0.2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spans="1:26" ht="12" customHeight="1" x14ac:dyDescent="0.2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</row>
    <row r="875" spans="1:26" ht="12" customHeight="1" x14ac:dyDescent="0.2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</row>
    <row r="876" spans="1:26" ht="12" customHeight="1" x14ac:dyDescent="0.2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</row>
    <row r="877" spans="1:26" ht="12" customHeight="1" x14ac:dyDescent="0.2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</row>
    <row r="878" spans="1:26" ht="12" customHeight="1" x14ac:dyDescent="0.2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</row>
    <row r="879" spans="1:26" ht="12" customHeight="1" x14ac:dyDescent="0.2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</row>
    <row r="880" spans="1:26" ht="12" customHeight="1" x14ac:dyDescent="0.2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</row>
    <row r="881" spans="1:26" ht="12" customHeight="1" x14ac:dyDescent="0.2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spans="1:26" ht="12" customHeight="1" x14ac:dyDescent="0.2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</row>
    <row r="883" spans="1:26" ht="12" customHeight="1" x14ac:dyDescent="0.2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spans="1:26" ht="12" customHeight="1" x14ac:dyDescent="0.2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</row>
    <row r="885" spans="1:26" ht="12" customHeight="1" x14ac:dyDescent="0.2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spans="1:26" ht="12" customHeight="1" x14ac:dyDescent="0.2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</row>
    <row r="887" spans="1:26" ht="12" customHeight="1" x14ac:dyDescent="0.2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spans="1:26" ht="12" customHeight="1" x14ac:dyDescent="0.2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</row>
    <row r="889" spans="1:26" ht="12" customHeight="1" x14ac:dyDescent="0.2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spans="1:26" ht="12" customHeight="1" x14ac:dyDescent="0.2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</row>
    <row r="891" spans="1:26" ht="12" customHeight="1" x14ac:dyDescent="0.2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spans="1:26" ht="12" customHeight="1" x14ac:dyDescent="0.2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</row>
    <row r="893" spans="1:26" ht="12" customHeight="1" x14ac:dyDescent="0.2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spans="1:26" ht="12" customHeight="1" x14ac:dyDescent="0.2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</row>
    <row r="895" spans="1:26" ht="12" customHeight="1" x14ac:dyDescent="0.2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spans="1:26" ht="12" customHeight="1" x14ac:dyDescent="0.2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</row>
    <row r="897" spans="1:26" ht="12" customHeight="1" x14ac:dyDescent="0.2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spans="1:26" ht="12" customHeight="1" x14ac:dyDescent="0.2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</row>
    <row r="899" spans="1:26" ht="12" customHeight="1" x14ac:dyDescent="0.2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spans="1:26" ht="12" customHeight="1" x14ac:dyDescent="0.2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</row>
    <row r="901" spans="1:26" ht="12" customHeight="1" x14ac:dyDescent="0.2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spans="1:26" ht="12" customHeight="1" x14ac:dyDescent="0.2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</row>
    <row r="903" spans="1:26" ht="12" customHeight="1" x14ac:dyDescent="0.2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spans="1:26" ht="12" customHeight="1" x14ac:dyDescent="0.2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</row>
    <row r="905" spans="1:26" ht="12" customHeight="1" x14ac:dyDescent="0.2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spans="1:26" ht="12" customHeight="1" x14ac:dyDescent="0.2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</row>
    <row r="907" spans="1:26" ht="12" customHeight="1" x14ac:dyDescent="0.2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spans="1:26" ht="12" customHeight="1" x14ac:dyDescent="0.2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</row>
    <row r="909" spans="1:26" ht="12" customHeight="1" x14ac:dyDescent="0.2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spans="1:26" ht="12" customHeight="1" x14ac:dyDescent="0.2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</row>
    <row r="911" spans="1:26" ht="12" customHeight="1" x14ac:dyDescent="0.2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spans="1:26" ht="12" customHeight="1" x14ac:dyDescent="0.2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</row>
    <row r="913" spans="1:26" ht="12" customHeight="1" x14ac:dyDescent="0.2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spans="1:26" ht="12" customHeight="1" x14ac:dyDescent="0.2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</row>
    <row r="915" spans="1:26" ht="12" customHeight="1" x14ac:dyDescent="0.2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spans="1:26" ht="12" customHeight="1" x14ac:dyDescent="0.2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</row>
    <row r="917" spans="1:26" ht="12" customHeight="1" x14ac:dyDescent="0.2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spans="1:26" ht="12" customHeight="1" x14ac:dyDescent="0.2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</row>
    <row r="919" spans="1:26" ht="12" customHeight="1" x14ac:dyDescent="0.2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spans="1:26" ht="12" customHeight="1" x14ac:dyDescent="0.2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</row>
    <row r="921" spans="1:26" ht="12" customHeight="1" x14ac:dyDescent="0.2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</row>
    <row r="922" spans="1:26" ht="12" customHeight="1" x14ac:dyDescent="0.2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</row>
    <row r="923" spans="1:26" ht="12" customHeight="1" x14ac:dyDescent="0.2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</row>
    <row r="924" spans="1:26" ht="12" customHeight="1" x14ac:dyDescent="0.2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</row>
    <row r="925" spans="1:26" ht="12" customHeight="1" x14ac:dyDescent="0.2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</row>
    <row r="926" spans="1:26" ht="12" customHeight="1" x14ac:dyDescent="0.2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</row>
    <row r="927" spans="1:26" ht="12" customHeight="1" x14ac:dyDescent="0.2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spans="1:26" ht="12" customHeight="1" x14ac:dyDescent="0.2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</row>
    <row r="929" spans="1:26" ht="12" customHeight="1" x14ac:dyDescent="0.2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spans="1:26" ht="12" customHeight="1" x14ac:dyDescent="0.2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</row>
    <row r="931" spans="1:26" ht="12" customHeight="1" x14ac:dyDescent="0.2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spans="1:26" ht="12" customHeight="1" x14ac:dyDescent="0.2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</row>
    <row r="933" spans="1:26" ht="12" customHeight="1" x14ac:dyDescent="0.2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spans="1:26" ht="12" customHeight="1" x14ac:dyDescent="0.2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</row>
    <row r="935" spans="1:26" ht="12" customHeight="1" x14ac:dyDescent="0.2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spans="1:26" ht="12" customHeight="1" x14ac:dyDescent="0.2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</row>
    <row r="937" spans="1:26" ht="12" customHeight="1" x14ac:dyDescent="0.2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spans="1:26" ht="12" customHeight="1" x14ac:dyDescent="0.2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</row>
    <row r="939" spans="1:26" ht="12" customHeight="1" x14ac:dyDescent="0.2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spans="1:26" ht="12" customHeight="1" x14ac:dyDescent="0.2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</row>
    <row r="941" spans="1:26" ht="12" customHeight="1" x14ac:dyDescent="0.2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spans="1:26" ht="12" customHeight="1" x14ac:dyDescent="0.2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</row>
    <row r="943" spans="1:26" ht="12" customHeight="1" x14ac:dyDescent="0.2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spans="1:26" ht="12" customHeight="1" x14ac:dyDescent="0.2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</row>
    <row r="945" spans="1:26" ht="12" customHeight="1" x14ac:dyDescent="0.2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spans="1:26" ht="12" customHeight="1" x14ac:dyDescent="0.2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</row>
    <row r="947" spans="1:26" ht="12" customHeight="1" x14ac:dyDescent="0.2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spans="1:26" ht="12" customHeight="1" x14ac:dyDescent="0.2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</row>
    <row r="949" spans="1:26" ht="12" customHeight="1" x14ac:dyDescent="0.2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spans="1:26" ht="12" customHeight="1" x14ac:dyDescent="0.2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</row>
    <row r="951" spans="1:26" ht="12" customHeight="1" x14ac:dyDescent="0.2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spans="1:26" ht="12" customHeight="1" x14ac:dyDescent="0.2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</row>
    <row r="953" spans="1:26" ht="12" customHeight="1" x14ac:dyDescent="0.2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spans="1:26" ht="12" customHeight="1" x14ac:dyDescent="0.2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</row>
    <row r="955" spans="1:26" ht="12" customHeight="1" x14ac:dyDescent="0.2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spans="1:26" ht="12" customHeight="1" x14ac:dyDescent="0.2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</row>
    <row r="957" spans="1:26" ht="12" customHeight="1" x14ac:dyDescent="0.2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spans="1:26" ht="12" customHeight="1" x14ac:dyDescent="0.2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</row>
    <row r="959" spans="1:26" ht="12" customHeight="1" x14ac:dyDescent="0.2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spans="1:26" ht="12" customHeight="1" x14ac:dyDescent="0.2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</row>
    <row r="961" spans="1:26" ht="12" customHeight="1" x14ac:dyDescent="0.2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spans="1:26" ht="12" customHeight="1" x14ac:dyDescent="0.2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</row>
    <row r="963" spans="1:26" ht="12" customHeight="1" x14ac:dyDescent="0.2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spans="1:26" ht="12" customHeight="1" x14ac:dyDescent="0.2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</row>
    <row r="965" spans="1:26" ht="12" customHeight="1" x14ac:dyDescent="0.2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spans="1:26" ht="12" customHeight="1" x14ac:dyDescent="0.2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</row>
    <row r="967" spans="1:26" ht="12" customHeight="1" x14ac:dyDescent="0.2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</row>
    <row r="968" spans="1:26" ht="12" customHeight="1" x14ac:dyDescent="0.2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</row>
    <row r="969" spans="1:26" ht="12" customHeight="1" x14ac:dyDescent="0.2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</row>
    <row r="970" spans="1:26" ht="12" customHeight="1" x14ac:dyDescent="0.2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</row>
    <row r="971" spans="1:26" ht="12" customHeight="1" x14ac:dyDescent="0.2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</row>
    <row r="972" spans="1:26" ht="12" customHeight="1" x14ac:dyDescent="0.2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</row>
    <row r="973" spans="1:26" ht="12" customHeight="1" x14ac:dyDescent="0.2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spans="1:26" ht="12" customHeight="1" x14ac:dyDescent="0.2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</row>
    <row r="975" spans="1:26" ht="12" customHeight="1" x14ac:dyDescent="0.2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spans="1:26" ht="12" customHeight="1" x14ac:dyDescent="0.2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</row>
    <row r="977" spans="1:26" ht="12" customHeight="1" x14ac:dyDescent="0.2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spans="1:26" ht="12" customHeight="1" x14ac:dyDescent="0.2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</row>
    <row r="979" spans="1:26" ht="12" customHeight="1" x14ac:dyDescent="0.2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spans="1:26" ht="12" customHeight="1" x14ac:dyDescent="0.2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</row>
    <row r="981" spans="1:26" ht="12" customHeight="1" x14ac:dyDescent="0.2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spans="1:26" ht="12" customHeight="1" x14ac:dyDescent="0.2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</row>
    <row r="983" spans="1:26" ht="12" customHeight="1" x14ac:dyDescent="0.2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spans="1:26" ht="12" customHeight="1" x14ac:dyDescent="0.2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</row>
    <row r="985" spans="1:26" ht="12" customHeight="1" x14ac:dyDescent="0.2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spans="1:26" ht="12" customHeight="1" x14ac:dyDescent="0.2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</row>
    <row r="987" spans="1:26" ht="12" customHeight="1" x14ac:dyDescent="0.2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spans="1:26" ht="12" customHeight="1" x14ac:dyDescent="0.2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</row>
    <row r="989" spans="1:26" ht="12" customHeight="1" x14ac:dyDescent="0.2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spans="1:26" ht="12" customHeight="1" x14ac:dyDescent="0.2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</row>
    <row r="991" spans="1:26" ht="12" customHeight="1" x14ac:dyDescent="0.2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spans="1:26" ht="12" customHeight="1" x14ac:dyDescent="0.2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</row>
    <row r="993" spans="1:26" ht="12" customHeight="1" x14ac:dyDescent="0.2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spans="1:26" ht="12" customHeight="1" x14ac:dyDescent="0.2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</row>
    <row r="995" spans="1:26" ht="12" customHeight="1" x14ac:dyDescent="0.2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spans="1:26" ht="12" customHeight="1" x14ac:dyDescent="0.2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</row>
    <row r="997" spans="1:26" ht="12" customHeight="1" x14ac:dyDescent="0.2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spans="1:26" ht="12" customHeight="1" x14ac:dyDescent="0.2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</row>
    <row r="999" spans="1:26" ht="12" customHeight="1" x14ac:dyDescent="0.2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  <row r="1000" spans="1:26" ht="12" customHeight="1" x14ac:dyDescent="0.2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</row>
  </sheetData>
  <printOptions horizontalCentered="1" verticalCentered="1"/>
  <pageMargins left="0.23622047244094491" right="0.23622047244094491" top="0.74803149606299213" bottom="0.74803149606299213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1000"/>
  <sheetViews>
    <sheetView workbookViewId="0"/>
  </sheetViews>
  <sheetFormatPr defaultColWidth="12.625" defaultRowHeight="15" customHeight="1" x14ac:dyDescent="0.2"/>
  <cols>
    <col min="1" max="26" width="6.625" customWidth="1"/>
  </cols>
  <sheetData>
    <row r="1" spans="1:1" ht="14.25" customHeight="1" x14ac:dyDescent="0.25">
      <c r="A1" s="40" t="s">
        <v>358</v>
      </c>
    </row>
    <row r="2" spans="1:1" ht="14.25" customHeight="1" x14ac:dyDescent="0.25">
      <c r="A2" s="40" t="s">
        <v>359</v>
      </c>
    </row>
    <row r="3" spans="1:1" ht="14.25" customHeight="1" x14ac:dyDescent="0.25">
      <c r="A3" s="40" t="s">
        <v>360</v>
      </c>
    </row>
    <row r="4" spans="1:1" ht="14.25" customHeight="1" x14ac:dyDescent="0.25">
      <c r="A4" s="40" t="s">
        <v>361</v>
      </c>
    </row>
    <row r="5" spans="1:1" ht="14.25" customHeight="1" x14ac:dyDescent="0.25">
      <c r="A5" s="40" t="s">
        <v>362</v>
      </c>
    </row>
    <row r="6" spans="1:1" ht="14.25" customHeight="1" x14ac:dyDescent="0.2"/>
    <row r="7" spans="1:1" ht="14.25" customHeight="1" x14ac:dyDescent="0.25">
      <c r="A7" s="40" t="s">
        <v>363</v>
      </c>
    </row>
    <row r="8" spans="1:1" ht="14.25" customHeight="1" x14ac:dyDescent="0.25">
      <c r="A8" s="40" t="s">
        <v>364</v>
      </c>
    </row>
    <row r="9" spans="1:1" ht="14.25" customHeight="1" x14ac:dyDescent="0.25">
      <c r="A9" s="40" t="s">
        <v>365</v>
      </c>
    </row>
    <row r="10" spans="1:1" ht="14.25" customHeight="1" x14ac:dyDescent="0.2"/>
    <row r="11" spans="1:1" ht="14.25" customHeight="1" x14ac:dyDescent="0.2"/>
    <row r="12" spans="1:1" ht="14.25" customHeight="1" x14ac:dyDescent="0.2"/>
    <row r="13" spans="1:1" ht="14.25" customHeight="1" x14ac:dyDescent="0.2"/>
    <row r="14" spans="1:1" ht="14.25" customHeight="1" x14ac:dyDescent="0.2"/>
    <row r="15" spans="1:1" ht="14.25" customHeight="1" x14ac:dyDescent="0.2"/>
    <row r="16" spans="1:1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5</vt:i4>
      </vt:variant>
    </vt:vector>
  </HeadingPairs>
  <TitlesOfParts>
    <vt:vector size="13" baseType="lpstr">
      <vt:lpstr>PLAN ST</vt:lpstr>
      <vt:lpstr>PLAN NST</vt:lpstr>
      <vt:lpstr>ISCED</vt:lpstr>
      <vt:lpstr>KODY</vt:lpstr>
      <vt:lpstr>INFORMACJA</vt:lpstr>
      <vt:lpstr>ECTS</vt:lpstr>
      <vt:lpstr>wykaz zmian</vt:lpstr>
      <vt:lpstr>uwagi</vt:lpstr>
      <vt:lpstr>ISCED!Excel_BuiltIn_Print_Area</vt:lpstr>
      <vt:lpstr>KODY!Excel_BuiltIn_Print_Area</vt:lpstr>
      <vt:lpstr>ISCED!Obszar_wydruku</vt:lpstr>
      <vt:lpstr>'PLAN NST'!Obszar_wydruku</vt:lpstr>
      <vt:lpstr>'PLAN ST'!Obszar_wydruku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Danuta Tomczyk</dc:creator>
  <cp:lastModifiedBy>Dorota Dygoń</cp:lastModifiedBy>
  <cp:lastPrinted>2023-09-25T09:51:57Z</cp:lastPrinted>
  <dcterms:created xsi:type="dcterms:W3CDTF">2019-12-23T09:56:16Z</dcterms:created>
  <dcterms:modified xsi:type="dcterms:W3CDTF">2024-05-06T09:10:25Z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0x0101007033C986999FCB4BB367FC815DA0776D</vt:lpwstr>
  </property>
</Properties>
</file>